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brittaniarce/Desktop/"/>
    </mc:Choice>
  </mc:AlternateContent>
  <xr:revisionPtr revIDLastSave="0" documentId="8_{06DB2055-1F4A-D348-8EA0-A5EF0438B621}" xr6:coauthVersionLast="45" xr6:coauthVersionMax="45" xr10:uidLastSave="{00000000-0000-0000-0000-000000000000}"/>
  <bookViews>
    <workbookView xWindow="0" yWindow="0" windowWidth="27320" windowHeight="15360" tabRatio="645" xr2:uid="{00000000-000D-0000-FFFF-FFFF00000000}"/>
  </bookViews>
  <sheets>
    <sheet name="Financial History" sheetId="18" r:id="rId1"/>
    <sheet name="Capital Structure" sheetId="7" r:id="rId2"/>
    <sheet name="Valuation" sheetId="19" r:id="rId3"/>
    <sheet name="Sheet1" sheetId="5" state="hidden" r:id="rId4"/>
    <sheet name="Help-Depreciation" sheetId="11" state="hidden" r:id="rId5"/>
  </sheets>
  <externalReferences>
    <externalReference r:id="rId6"/>
  </externalReferences>
  <definedNames>
    <definedName name="CourseGrades">[1]Grading!$A$1:$B$12</definedName>
    <definedName name="_xlnm.Print_Area" localSheetId="1">'Capital Structure'!$A$5:$J$31</definedName>
    <definedName name="_xlnm.Print_Area" localSheetId="0">'Financial History'!$A$4:$H$134</definedName>
    <definedName name="_xlnm.Print_Area" localSheetId="2">Valuation!$E$5:$K$74</definedName>
    <definedName name="_xlnm.Print_Titles" localSheetId="2">Valuation!$A:$D,Valuation!$5:$7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2" i="18" l="1"/>
  <c r="C18" i="7" l="1"/>
  <c r="D18" i="7"/>
  <c r="F18" i="7"/>
  <c r="G18" i="7"/>
  <c r="C19" i="7"/>
  <c r="H19" i="7" s="1"/>
  <c r="D19" i="7"/>
  <c r="F19" i="7"/>
  <c r="G19" i="7"/>
  <c r="H18" i="7" l="1"/>
  <c r="E72" i="19"/>
  <c r="E29" i="19" l="1"/>
  <c r="E33" i="19"/>
  <c r="E39" i="19"/>
  <c r="D62" i="18"/>
  <c r="E62" i="18"/>
  <c r="C62" i="18"/>
  <c r="E43" i="19" s="1"/>
  <c r="E47" i="19" s="1"/>
  <c r="A22" i="19" l="1"/>
  <c r="A21" i="19"/>
  <c r="A14" i="19"/>
  <c r="A10" i="19"/>
  <c r="C27" i="7" l="1"/>
  <c r="D110" i="18" l="1"/>
  <c r="F110" i="18" s="1"/>
  <c r="E110" i="18"/>
  <c r="G110" i="18" s="1"/>
  <c r="C110" i="18"/>
  <c r="A39" i="19" l="1"/>
  <c r="A27" i="19"/>
  <c r="A28" i="19"/>
  <c r="A38" i="19"/>
  <c r="A37" i="19"/>
  <c r="A35" i="19"/>
  <c r="A32" i="19"/>
  <c r="A19" i="19" l="1"/>
  <c r="E20" i="19" l="1"/>
  <c r="E18" i="19"/>
  <c r="E17" i="19"/>
  <c r="A20" i="19"/>
  <c r="K17" i="19" l="1"/>
  <c r="A18" i="19"/>
  <c r="A17" i="19"/>
  <c r="A24" i="19" l="1"/>
  <c r="A23" i="19"/>
  <c r="G54" i="18" l="1"/>
  <c r="F54" i="18"/>
  <c r="E36" i="19" l="1"/>
  <c r="K36" i="19" s="1"/>
  <c r="A36" i="19"/>
  <c r="A33" i="19"/>
  <c r="A29" i="19"/>
  <c r="A31" i="19"/>
  <c r="D67" i="18"/>
  <c r="D40" i="18"/>
  <c r="E21" i="19"/>
  <c r="E119" i="18" l="1"/>
  <c r="D119" i="18"/>
  <c r="G11" i="7" l="1"/>
  <c r="H11" i="7" s="1"/>
  <c r="E12" i="7"/>
  <c r="E13" i="7" s="1"/>
  <c r="F13" i="7" s="1"/>
  <c r="G12" i="7"/>
  <c r="H12" i="7" s="1"/>
  <c r="G16" i="7"/>
  <c r="H16" i="7"/>
  <c r="C17" i="7"/>
  <c r="G17" i="7"/>
  <c r="G20" i="7"/>
  <c r="H20" i="7" s="1"/>
  <c r="E64" i="19"/>
  <c r="A5" i="19"/>
  <c r="E41" i="19"/>
  <c r="F41" i="19" s="1"/>
  <c r="G41" i="19" s="1"/>
  <c r="H41" i="19" s="1"/>
  <c r="I41" i="19" s="1"/>
  <c r="J41" i="19" s="1"/>
  <c r="C56" i="18"/>
  <c r="E38" i="19" s="1"/>
  <c r="K38" i="19" s="1"/>
  <c r="E37" i="19"/>
  <c r="E35" i="19"/>
  <c r="K35" i="19" s="1"/>
  <c r="C50" i="18"/>
  <c r="E32" i="19" s="1"/>
  <c r="E31" i="19"/>
  <c r="E27" i="19"/>
  <c r="E4" i="19"/>
  <c r="A6" i="19" s="1"/>
  <c r="A6" i="18"/>
  <c r="A8" i="7" s="1"/>
  <c r="C4" i="7"/>
  <c r="A7" i="7" s="1"/>
  <c r="C3" i="7"/>
  <c r="A5" i="7" s="1"/>
  <c r="E97" i="18"/>
  <c r="D97" i="18"/>
  <c r="F17" i="7"/>
  <c r="E23" i="19"/>
  <c r="E10" i="19"/>
  <c r="F10" i="19" s="1"/>
  <c r="E7" i="19"/>
  <c r="F7" i="19" s="1"/>
  <c r="G7" i="19" s="1"/>
  <c r="H7" i="19" s="1"/>
  <c r="I7" i="19" s="1"/>
  <c r="J7" i="19" s="1"/>
  <c r="C33" i="18"/>
  <c r="H55" i="19" s="1"/>
  <c r="D33" i="18"/>
  <c r="E33" i="18"/>
  <c r="C130" i="18"/>
  <c r="E130" i="18"/>
  <c r="D130" i="18"/>
  <c r="F130" i="18"/>
  <c r="E122" i="18"/>
  <c r="D122" i="18"/>
  <c r="C122" i="18"/>
  <c r="B122" i="18"/>
  <c r="G119" i="18"/>
  <c r="F119" i="18"/>
  <c r="C119" i="18"/>
  <c r="C107" i="18"/>
  <c r="F107" i="18" s="1"/>
  <c r="A105" i="18"/>
  <c r="A102" i="18"/>
  <c r="A101" i="18"/>
  <c r="A134" i="18" s="1"/>
  <c r="C97" i="18"/>
  <c r="G90" i="18"/>
  <c r="F90" i="18"/>
  <c r="E88" i="18"/>
  <c r="D88" i="18"/>
  <c r="C88" i="18"/>
  <c r="G87" i="18"/>
  <c r="F87" i="18"/>
  <c r="G84" i="18"/>
  <c r="F84" i="18"/>
  <c r="E83" i="18"/>
  <c r="D83" i="18"/>
  <c r="C83" i="18"/>
  <c r="G82" i="18"/>
  <c r="F82" i="18"/>
  <c r="G79" i="18"/>
  <c r="F79" i="18"/>
  <c r="G76" i="18"/>
  <c r="F76" i="18"/>
  <c r="G73" i="18"/>
  <c r="F73" i="18"/>
  <c r="G71" i="18"/>
  <c r="F71" i="18"/>
  <c r="C69" i="18"/>
  <c r="F69" i="18" s="1"/>
  <c r="A64" i="18"/>
  <c r="A63" i="18"/>
  <c r="E115" i="18"/>
  <c r="D115" i="18"/>
  <c r="C115" i="18"/>
  <c r="E42" i="19"/>
  <c r="G59" i="18"/>
  <c r="F59" i="18"/>
  <c r="G57" i="18"/>
  <c r="F57" i="18"/>
  <c r="E56" i="18"/>
  <c r="D56" i="18"/>
  <c r="G55" i="18"/>
  <c r="F55" i="18"/>
  <c r="G53" i="18"/>
  <c r="F53" i="18"/>
  <c r="G51" i="18"/>
  <c r="F51" i="18"/>
  <c r="E50" i="18"/>
  <c r="D50" i="18"/>
  <c r="G49" i="18"/>
  <c r="F49" i="18"/>
  <c r="G47" i="18"/>
  <c r="F47" i="18"/>
  <c r="G45" i="18"/>
  <c r="F45" i="18"/>
  <c r="C42" i="18"/>
  <c r="F42" i="18" s="1"/>
  <c r="A37" i="18"/>
  <c r="G32" i="18"/>
  <c r="F32" i="18"/>
  <c r="G28" i="18"/>
  <c r="F28" i="18"/>
  <c r="G25" i="18"/>
  <c r="F25" i="18"/>
  <c r="G22" i="18"/>
  <c r="F22" i="18"/>
  <c r="G18" i="18"/>
  <c r="F18" i="18"/>
  <c r="G17" i="18"/>
  <c r="F17" i="18"/>
  <c r="G14" i="18"/>
  <c r="F14" i="18"/>
  <c r="E12" i="18"/>
  <c r="D12" i="18"/>
  <c r="G11" i="18"/>
  <c r="F11" i="18"/>
  <c r="G10" i="18"/>
  <c r="F10" i="18"/>
  <c r="E11" i="19" s="1"/>
  <c r="F9" i="18"/>
  <c r="D9" i="18"/>
  <c r="E9" i="18" s="1"/>
  <c r="D15" i="11"/>
  <c r="D23" i="11" s="1"/>
  <c r="E11" i="11"/>
  <c r="D36" i="11"/>
  <c r="D38" i="11" s="1"/>
  <c r="E16" i="11"/>
  <c r="D16" i="11"/>
  <c r="F10" i="11"/>
  <c r="G10" i="11" s="1"/>
  <c r="F16" i="11"/>
  <c r="G41" i="11"/>
  <c r="G40" i="11"/>
  <c r="F42" i="11"/>
  <c r="E42" i="11"/>
  <c r="D42" i="11"/>
  <c r="E38" i="11"/>
  <c r="G36" i="11"/>
  <c r="G33" i="11"/>
  <c r="G42" i="11"/>
  <c r="F20" i="7"/>
  <c r="F16" i="7"/>
  <c r="F11" i="7"/>
  <c r="G24" i="7"/>
  <c r="N5" i="5"/>
  <c r="M5" i="5"/>
  <c r="L5" i="5"/>
  <c r="K5" i="5"/>
  <c r="J5" i="5"/>
  <c r="I5" i="5"/>
  <c r="H5" i="5"/>
  <c r="G5" i="5"/>
  <c r="F5" i="5"/>
  <c r="E5" i="5"/>
  <c r="D5" i="5"/>
  <c r="C5" i="5"/>
  <c r="C7" i="5" s="1"/>
  <c r="C8" i="5" s="1"/>
  <c r="D6" i="5" s="1"/>
  <c r="D7" i="5" s="1"/>
  <c r="D4" i="5"/>
  <c r="E4" i="5" s="1"/>
  <c r="F4" i="5" s="1"/>
  <c r="G4" i="5" s="1"/>
  <c r="H4" i="5" s="1"/>
  <c r="I4" i="5" s="1"/>
  <c r="J4" i="5" s="1"/>
  <c r="K4" i="5" s="1"/>
  <c r="L4" i="5" s="1"/>
  <c r="M4" i="5" s="1"/>
  <c r="N4" i="5" s="1"/>
  <c r="F115" i="18" l="1"/>
  <c r="G10" i="19"/>
  <c r="F14" i="19"/>
  <c r="F15" i="19" s="1"/>
  <c r="G88" i="18"/>
  <c r="F83" i="18"/>
  <c r="F72" i="18"/>
  <c r="G127" i="18"/>
  <c r="G125" i="18"/>
  <c r="E58" i="19"/>
  <c r="E57" i="19"/>
  <c r="E19" i="19"/>
  <c r="E14" i="19"/>
  <c r="E71" i="19" s="1"/>
  <c r="G115" i="18"/>
  <c r="H17" i="7"/>
  <c r="D96" i="18"/>
  <c r="D99" i="18"/>
  <c r="D111" i="18"/>
  <c r="F78" i="18"/>
  <c r="F88" i="18"/>
  <c r="E96" i="18"/>
  <c r="E99" i="18"/>
  <c r="E111" i="18"/>
  <c r="G72" i="18"/>
  <c r="G78" i="18"/>
  <c r="G83" i="18"/>
  <c r="F77" i="18"/>
  <c r="C96" i="18"/>
  <c r="C99" i="18"/>
  <c r="C111" i="18"/>
  <c r="F12" i="7"/>
  <c r="G77" i="18"/>
  <c r="F50" i="18"/>
  <c r="G89" i="18"/>
  <c r="G62" i="18"/>
  <c r="F89" i="18"/>
  <c r="F60" i="18"/>
  <c r="G56" i="18"/>
  <c r="F122" i="18"/>
  <c r="F62" i="18"/>
  <c r="A104" i="18"/>
  <c r="G122" i="18"/>
  <c r="A66" i="18"/>
  <c r="A39" i="18"/>
  <c r="F56" i="18"/>
  <c r="G50" i="18"/>
  <c r="G60" i="18"/>
  <c r="C28" i="7"/>
  <c r="H27" i="7" s="1"/>
  <c r="A55" i="19"/>
  <c r="G12" i="18"/>
  <c r="F131" i="18"/>
  <c r="D8" i="5"/>
  <c r="E6" i="5" s="1"/>
  <c r="E42" i="18"/>
  <c r="E107" i="18"/>
  <c r="D124" i="18" s="1"/>
  <c r="E69" i="18"/>
  <c r="D17" i="11"/>
  <c r="G16" i="11"/>
  <c r="E15" i="11"/>
  <c r="F11" i="11"/>
  <c r="F15" i="11" s="1"/>
  <c r="F12" i="18"/>
  <c r="K41" i="19"/>
  <c r="E14" i="7"/>
  <c r="G13" i="7"/>
  <c r="H13" i="7" s="1"/>
  <c r="F37" i="11"/>
  <c r="D12" i="11"/>
  <c r="D69" i="18"/>
  <c r="G69" i="18" s="1"/>
  <c r="D42" i="18"/>
  <c r="G42" i="18" s="1"/>
  <c r="D107" i="18"/>
  <c r="G107" i="18" s="1"/>
  <c r="G9" i="18"/>
  <c r="C21" i="7"/>
  <c r="J19" i="7" l="1"/>
  <c r="I19" i="7" s="1"/>
  <c r="J18" i="7"/>
  <c r="I18" i="7" s="1"/>
  <c r="E15" i="19"/>
  <c r="H10" i="19"/>
  <c r="G14" i="19"/>
  <c r="G15" i="19" s="1"/>
  <c r="G111" i="18"/>
  <c r="F111" i="18"/>
  <c r="C29" i="7"/>
  <c r="G15" i="18"/>
  <c r="G20" i="18"/>
  <c r="J15" i="7"/>
  <c r="J20" i="7"/>
  <c r="I20" i="7" s="1"/>
  <c r="J17" i="7"/>
  <c r="I17" i="7" s="1"/>
  <c r="J12" i="7"/>
  <c r="I12" i="7" s="1"/>
  <c r="J14" i="7"/>
  <c r="J13" i="7"/>
  <c r="I13" i="7" s="1"/>
  <c r="J11" i="7"/>
  <c r="J16" i="7"/>
  <c r="I16" i="7" s="1"/>
  <c r="F15" i="18"/>
  <c r="F17" i="11"/>
  <c r="F23" i="11"/>
  <c r="E13" i="19"/>
  <c r="D24" i="11"/>
  <c r="E12" i="11"/>
  <c r="E23" i="11"/>
  <c r="E17" i="11"/>
  <c r="G15" i="11"/>
  <c r="E124" i="18"/>
  <c r="F124" i="18" s="1"/>
  <c r="C124" i="18"/>
  <c r="G37" i="11"/>
  <c r="F38" i="11"/>
  <c r="G38" i="11" s="1"/>
  <c r="G14" i="7"/>
  <c r="H14" i="7" s="1"/>
  <c r="E15" i="7"/>
  <c r="F14" i="7"/>
  <c r="C23" i="18"/>
  <c r="C26" i="18" s="1"/>
  <c r="G11" i="11"/>
  <c r="D19" i="11"/>
  <c r="E7" i="5"/>
  <c r="E8" i="5" s="1"/>
  <c r="F6" i="5" s="1"/>
  <c r="E23" i="18"/>
  <c r="B127" i="18" l="1"/>
  <c r="I10" i="19"/>
  <c r="H14" i="19"/>
  <c r="H15" i="19" s="1"/>
  <c r="I11" i="7"/>
  <c r="J21" i="7"/>
  <c r="I14" i="7"/>
  <c r="C112" i="18"/>
  <c r="C113" i="18"/>
  <c r="C118" i="18"/>
  <c r="C29" i="18"/>
  <c r="D29" i="7"/>
  <c r="D28" i="7"/>
  <c r="D27" i="7"/>
  <c r="H28" i="7"/>
  <c r="C114" i="18"/>
  <c r="C31" i="18"/>
  <c r="F7" i="5"/>
  <c r="F8" i="5" s="1"/>
  <c r="G6" i="5" s="1"/>
  <c r="D32" i="11"/>
  <c r="D25" i="11"/>
  <c r="G23" i="11"/>
  <c r="E26" i="18"/>
  <c r="F19" i="11"/>
  <c r="F20" i="11" s="1"/>
  <c r="G19" i="11"/>
  <c r="G15" i="7"/>
  <c r="H15" i="7" s="1"/>
  <c r="H21" i="7" s="1"/>
  <c r="F15" i="7"/>
  <c r="E19" i="11"/>
  <c r="E20" i="11"/>
  <c r="D23" i="18"/>
  <c r="G23" i="18" s="1"/>
  <c r="F20" i="18"/>
  <c r="G17" i="11"/>
  <c r="E22" i="19"/>
  <c r="C43" i="18"/>
  <c r="C46" i="18" s="1"/>
  <c r="E28" i="19" s="1"/>
  <c r="D20" i="11"/>
  <c r="E24" i="11"/>
  <c r="E32" i="11" s="1"/>
  <c r="F12" i="11"/>
  <c r="F24" i="11" s="1"/>
  <c r="F32" i="11" s="1"/>
  <c r="G20" i="11" l="1"/>
  <c r="J10" i="19"/>
  <c r="I14" i="19"/>
  <c r="I15" i="19" s="1"/>
  <c r="E113" i="18"/>
  <c r="E112" i="18"/>
  <c r="I15" i="7"/>
  <c r="I21" i="7" s="1"/>
  <c r="E118" i="18"/>
  <c r="E29" i="18"/>
  <c r="C34" i="18"/>
  <c r="C109" i="18"/>
  <c r="E24" i="19"/>
  <c r="E114" i="18"/>
  <c r="E31" i="18"/>
  <c r="G7" i="5"/>
  <c r="G8" i="5" s="1"/>
  <c r="H6" i="5" s="1"/>
  <c r="K21" i="19"/>
  <c r="E26" i="19"/>
  <c r="E43" i="18"/>
  <c r="E25" i="11"/>
  <c r="G32" i="11"/>
  <c r="F25" i="11"/>
  <c r="G25" i="11" s="1"/>
  <c r="H24" i="7"/>
  <c r="F24" i="7"/>
  <c r="F23" i="18"/>
  <c r="D26" i="18"/>
  <c r="D27" i="11"/>
  <c r="D28" i="11" s="1"/>
  <c r="G24" i="11"/>
  <c r="G12" i="11"/>
  <c r="J14" i="19" l="1"/>
  <c r="J15" i="19" s="1"/>
  <c r="E73" i="19"/>
  <c r="E74" i="19" s="1"/>
  <c r="D113" i="18"/>
  <c r="F113" i="18" s="1"/>
  <c r="D112" i="18"/>
  <c r="F112" i="18" s="1"/>
  <c r="E109" i="18"/>
  <c r="E34" i="18"/>
  <c r="G26" i="18"/>
  <c r="D118" i="18"/>
  <c r="D29" i="18"/>
  <c r="D114" i="18"/>
  <c r="F114" i="18" s="1"/>
  <c r="D31" i="18"/>
  <c r="H7" i="5"/>
  <c r="H8" i="5" s="1"/>
  <c r="I6" i="5" s="1"/>
  <c r="D43" i="18"/>
  <c r="G43" i="18" s="1"/>
  <c r="F26" i="18"/>
  <c r="E27" i="11"/>
  <c r="E28" i="11" s="1"/>
  <c r="D31" i="11"/>
  <c r="E46" i="18"/>
  <c r="F27" i="11"/>
  <c r="F28" i="11" s="1"/>
  <c r="F31" i="11" s="1"/>
  <c r="F34" i="11" s="1"/>
  <c r="F44" i="11" s="1"/>
  <c r="G113" i="18" l="1"/>
  <c r="G112" i="18"/>
  <c r="G118" i="18"/>
  <c r="F118" i="18"/>
  <c r="D109" i="18"/>
  <c r="F29" i="18"/>
  <c r="G29" i="18"/>
  <c r="D34" i="18"/>
  <c r="G114" i="18"/>
  <c r="E31" i="11"/>
  <c r="E34" i="11" s="1"/>
  <c r="E44" i="11" s="1"/>
  <c r="G28" i="11"/>
  <c r="I7" i="5"/>
  <c r="I8" i="5" s="1"/>
  <c r="J6" i="5" s="1"/>
  <c r="G27" i="11"/>
  <c r="F43" i="18"/>
  <c r="D46" i="18"/>
  <c r="F46" i="18" s="1"/>
  <c r="D34" i="11"/>
  <c r="G31" i="11"/>
  <c r="F34" i="18" l="1"/>
  <c r="G34" i="18"/>
  <c r="F109" i="18"/>
  <c r="G109" i="18"/>
  <c r="G46" i="18"/>
  <c r="G34" i="11"/>
  <c r="D44" i="11"/>
  <c r="J7" i="5"/>
  <c r="J8" i="5" s="1"/>
  <c r="K6" i="5" s="1"/>
  <c r="K7" i="5" l="1"/>
  <c r="K8" i="5" s="1"/>
  <c r="L6" i="5" s="1"/>
  <c r="D46" i="11"/>
  <c r="E45" i="11" s="1"/>
  <c r="E46" i="11" s="1"/>
  <c r="F45" i="11" s="1"/>
  <c r="F46" i="11" s="1"/>
  <c r="G44" i="11"/>
  <c r="L7" i="5" l="1"/>
  <c r="L8" i="5" s="1"/>
  <c r="M6" i="5" s="1"/>
  <c r="K10" i="19" l="1"/>
  <c r="M7" i="5"/>
  <c r="M8" i="5"/>
  <c r="N6" i="5" s="1"/>
  <c r="N7" i="5" l="1"/>
  <c r="N8" i="5" s="1"/>
  <c r="F19" i="19" l="1"/>
  <c r="F22" i="19" s="1"/>
  <c r="F26" i="19" s="1"/>
  <c r="F71" i="19"/>
  <c r="F74" i="19" s="1"/>
  <c r="F24" i="19" l="1"/>
  <c r="G19" i="19"/>
  <c r="G22" i="19" s="1"/>
  <c r="G26" i="19" s="1"/>
  <c r="G71" i="19"/>
  <c r="G74" i="19" s="1"/>
  <c r="G24" i="19"/>
  <c r="G39" i="19"/>
  <c r="F29" i="19"/>
  <c r="F33" i="19"/>
  <c r="H19" i="19" l="1"/>
  <c r="H22" i="19" s="1"/>
  <c r="H71" i="19"/>
  <c r="H74" i="19" s="1"/>
  <c r="F39" i="19"/>
  <c r="F42" i="19" s="1"/>
  <c r="I24" i="19"/>
  <c r="G33" i="19"/>
  <c r="F43" i="19"/>
  <c r="F47" i="19" s="1"/>
  <c r="G29" i="19"/>
  <c r="I19" i="19" l="1"/>
  <c r="I22" i="19" s="1"/>
  <c r="I71" i="19"/>
  <c r="I74" i="19" s="1"/>
  <c r="G43" i="19"/>
  <c r="G47" i="19" s="1"/>
  <c r="G42" i="19"/>
  <c r="H24" i="19"/>
  <c r="H26" i="19"/>
  <c r="H33" i="19"/>
  <c r="G57" i="19" l="1"/>
  <c r="J19" i="19"/>
  <c r="J22" i="19" s="1"/>
  <c r="J26" i="19" s="1"/>
  <c r="J29" i="19" s="1"/>
  <c r="J71" i="19"/>
  <c r="J74" i="19" s="1"/>
  <c r="I26" i="19"/>
  <c r="I29" i="19" s="1"/>
  <c r="I43" i="19" s="1"/>
  <c r="I47" i="19" s="1"/>
  <c r="I33" i="19"/>
  <c r="H29" i="19"/>
  <c r="F57" i="19"/>
  <c r="F58" i="19"/>
  <c r="J24" i="19"/>
  <c r="F59" i="19" l="1"/>
  <c r="H39" i="19"/>
  <c r="H42" i="19" s="1"/>
  <c r="G58" i="19"/>
  <c r="G59" i="19" s="1"/>
  <c r="I39" i="19"/>
  <c r="I42" i="19" s="1"/>
  <c r="I57" i="19" s="1"/>
  <c r="J43" i="19"/>
  <c r="J47" i="19" s="1"/>
  <c r="H43" i="19"/>
  <c r="H47" i="19" s="1"/>
  <c r="J33" i="19"/>
  <c r="H58" i="19" l="1"/>
  <c r="K28" i="19"/>
  <c r="H59" i="19" l="1"/>
  <c r="K27" i="19"/>
  <c r="K32" i="19"/>
  <c r="J39" i="19"/>
  <c r="I58" i="19"/>
  <c r="K18" i="19"/>
  <c r="H57" i="19"/>
  <c r="I59" i="19" l="1"/>
  <c r="J42" i="19"/>
  <c r="K14" i="19" l="1"/>
  <c r="K19" i="19" s="1"/>
  <c r="K22" i="19" s="1"/>
  <c r="K13" i="19"/>
  <c r="K24" i="19"/>
  <c r="K31" i="19" l="1"/>
  <c r="J57" i="19"/>
  <c r="J58" i="19"/>
  <c r="J59" i="19" l="1"/>
  <c r="K26" i="19"/>
  <c r="K29" i="19"/>
  <c r="K33" i="19"/>
  <c r="K43" i="19" l="1"/>
  <c r="K37" i="19"/>
  <c r="K39" i="19" l="1"/>
  <c r="K42" i="19" l="1"/>
  <c r="E51" i="19" l="1"/>
  <c r="E50" i="19"/>
  <c r="K47" i="19"/>
  <c r="E52" i="19"/>
  <c r="K57" i="19" l="1"/>
  <c r="E61" i="19"/>
  <c r="E65" i="19" l="1"/>
  <c r="E6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 Jeffrey Smith</author>
  </authors>
  <commentList>
    <comment ref="C130" authorId="0" shapeId="0" xr:uid="{00000000-0006-0000-0000-000001000000}">
      <text>
        <r>
          <rPr>
            <sz val="9"/>
            <color indexed="81"/>
            <rFont val="Tahoma"/>
            <family val="2"/>
          </rPr>
          <t>This is negative because we're assuming you pay this out ("cash outflow") to buy your 1 share of stock.</t>
        </r>
      </text>
    </comment>
    <comment ref="F131" authorId="0" shapeId="0" xr:uid="{00000000-0006-0000-0000-000002000000}">
      <text>
        <r>
          <rPr>
            <sz val="9"/>
            <color indexed="81"/>
            <rFont val="Tahoma"/>
            <family val="2"/>
          </rPr>
          <t>This will always be LESS THAN 1/3 of the total 3-yr Percent Change figures above. Why? Because of time value of money and compounding. When N = 1, ROI and IRR will be the same. For N &gt; 1, they will be different because IRR calculates the return on an annualized basis; average annual return over the investment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 Jeffrey Smith</author>
    <author>Regis, Kristin</author>
  </authors>
  <commentList>
    <comment ref="C10" authorId="0" shapeId="0" xr:uid="{00000000-0006-0000-0100-000001000000}">
      <text>
        <r>
          <rPr>
            <b/>
            <sz val="9"/>
            <color indexed="81"/>
            <rFont val="Tahoma"/>
            <family val="2"/>
          </rPr>
          <t>C. Jeffrey Smith:</t>
        </r>
        <r>
          <rPr>
            <sz val="9"/>
            <color indexed="81"/>
            <rFont val="Tahoma"/>
            <family val="2"/>
          </rPr>
          <t xml:space="preserve">
All of the funds the organization has received from banks, bond-buyers, stockholders, and other investors. (Does not include Accounts Payable and accrued expenses.) Funds invested found on Form 10-K (Annual Report) filed with the Securities and Exchange Commission (SEC) https://www.sec.gov/edgar/searchedgar/companysearch.html
Form 10-K also available on Mergent Online under Reports tab.
Important to review cost of capital reading in text.</t>
        </r>
      </text>
    </comment>
    <comment ref="D10" authorId="1" shapeId="0" xr:uid="{00000000-0006-0000-0100-000002000000}">
      <text>
        <r>
          <rPr>
            <b/>
            <sz val="9"/>
            <color indexed="81"/>
            <rFont val="Tahoma"/>
            <charset val="1"/>
          </rPr>
          <t>Regis, Kristin:</t>
        </r>
        <r>
          <rPr>
            <sz val="9"/>
            <color indexed="81"/>
            <rFont val="Tahoma"/>
            <charset val="1"/>
          </rPr>
          <t xml:space="preserve">
See Cost of Capital in text. For cost of debt, we would use current market value; however, that is not feasible for this project. For this project, review Form 10-K filed with the SEC https://www.sec.gov/edgar/searchedgar/companysearch.html to see debt interest rates so you may estimate here. Consider why market values would be more appropriate.</t>
        </r>
      </text>
    </comment>
    <comment ref="E10" authorId="0" shapeId="0" xr:uid="{00000000-0006-0000-0100-000003000000}">
      <text>
        <r>
          <rPr>
            <b/>
            <sz val="9"/>
            <color indexed="81"/>
            <rFont val="Tahoma"/>
            <family val="2"/>
          </rPr>
          <t>C. Jeffrey Smith:</t>
        </r>
        <r>
          <rPr>
            <sz val="9"/>
            <color indexed="81"/>
            <rFont val="Tahoma"/>
            <family val="2"/>
          </rPr>
          <t xml:space="preserve">
Always 0% for stock and retained earnings; may be 0% - 50% for debt and leases. See marginal tax rate explanation in the course text. Research corporate tax rate for fiscal year listed on this spreadsheet (e.g. IRS site). Tax information also available in Form 10-K.</t>
        </r>
      </text>
    </comment>
    <comment ref="G10" authorId="0" shapeId="0" xr:uid="{00000000-0006-0000-0100-000004000000}">
      <text>
        <r>
          <rPr>
            <b/>
            <sz val="9"/>
            <color indexed="81"/>
            <rFont val="Tahoma"/>
            <family val="2"/>
          </rPr>
          <t>C. Jeffrey Smith:</t>
        </r>
        <r>
          <rPr>
            <sz val="9"/>
            <color indexed="81"/>
            <rFont val="Tahoma"/>
            <family val="2"/>
          </rPr>
          <t xml:space="preserve">
Equals Column D times column F.</t>
        </r>
      </text>
    </comment>
    <comment ref="D17" authorId="1" shapeId="0" xr:uid="{00000000-0006-0000-0100-000005000000}">
      <text>
        <r>
          <rPr>
            <b/>
            <sz val="9"/>
            <color indexed="81"/>
            <rFont val="Tahoma"/>
            <charset val="1"/>
          </rPr>
          <t>Regis, Kristin:</t>
        </r>
        <r>
          <rPr>
            <sz val="9"/>
            <color indexed="81"/>
            <rFont val="Tahoma"/>
            <charset val="1"/>
          </rPr>
          <t xml:space="preserve">
"Cost of equity"</t>
        </r>
      </text>
    </comment>
    <comment ref="J21" authorId="0" shapeId="0" xr:uid="{00000000-0006-0000-0100-000006000000}">
      <text>
        <r>
          <rPr>
            <b/>
            <sz val="9"/>
            <color indexed="81"/>
            <rFont val="Tahoma"/>
            <family val="2"/>
          </rPr>
          <t>C. Jeffrey Smith:</t>
        </r>
        <r>
          <rPr>
            <sz val="9"/>
            <color indexed="81"/>
            <rFont val="Tahoma"/>
            <family val="2"/>
          </rPr>
          <t xml:space="preserve">
The % of Total should always add up to 100.0%.  If not, you've done something wrong.</t>
        </r>
      </text>
    </comment>
  </commentList>
</comments>
</file>

<file path=xl/sharedStrings.xml><?xml version="1.0" encoding="utf-8"?>
<sst xmlns="http://schemas.openxmlformats.org/spreadsheetml/2006/main" count="385" uniqueCount="301">
  <si>
    <t>Interest Rate</t>
  </si>
  <si>
    <t>Month -&gt;</t>
  </si>
  <si>
    <t>Start of Month</t>
  </si>
  <si>
    <t>Interest Charge</t>
  </si>
  <si>
    <t>End of Month</t>
  </si>
  <si>
    <t>TEXTBOOK METHOD</t>
  </si>
  <si>
    <t>Wgt x Cost</t>
  </si>
  <si>
    <t>% of Total</t>
  </si>
  <si>
    <t>Retained Earnings</t>
  </si>
  <si>
    <t>TOTAL</t>
  </si>
  <si>
    <t>WACC = [$ Total Annual Cost of Capital] / [$ Total Capital Funding]          =</t>
  </si>
  <si>
    <t>1 - Corp Tax Rate</t>
  </si>
  <si>
    <t>% Cost of Capital, After Tax Savings</t>
  </si>
  <si>
    <t>NOTES:</t>
  </si>
  <si>
    <t>SIMPLE METHOD</t>
  </si>
  <si>
    <t>Debt: Bank Loans</t>
  </si>
  <si>
    <t>Debt: Bonds</t>
  </si>
  <si>
    <t>Debt: Other or Unidentified</t>
  </si>
  <si>
    <t>Preferred Stock (if any)</t>
  </si>
  <si>
    <t>Debt: Commercial Paper</t>
  </si>
  <si>
    <t>-</t>
  </si>
  <si>
    <t>NET CASH FLOW</t>
  </si>
  <si>
    <t>NPV</t>
  </si>
  <si>
    <t>Investment</t>
  </si>
  <si>
    <t>a)</t>
  </si>
  <si>
    <t>Corporate Marginal Tax Rate %</t>
  </si>
  <si>
    <t>b)</t>
  </si>
  <si>
    <t>c)</t>
  </si>
  <si>
    <t>HOW TO ESTIMATE REQUIRED RATE OF RETURN FOR COMMON STOCK</t>
  </si>
  <si>
    <t>Leases are a form of debt.</t>
  </si>
  <si>
    <t>Cost of Capital: Estimated % Return Req'd by Investors</t>
  </si>
  <si>
    <t>($Dividend / $Current Price) + Expected % Dividend Growth Rate</t>
  </si>
  <si>
    <t>Example:</t>
  </si>
  <si>
    <t>($1.50 / $20.00) + 6.5% = 0.075 + 0.065 = 0.140 = 14.0%</t>
  </si>
  <si>
    <t>Intrinsic Value Method</t>
  </si>
  <si>
    <t>$ Cost of Capital per Year (Column C x Coumn G)</t>
  </si>
  <si>
    <t>&lt;-- Only works if constant future growth is expected.</t>
  </si>
  <si>
    <t>Industry Averages</t>
  </si>
  <si>
    <t>d)</t>
  </si>
  <si>
    <t>REVENUE</t>
  </si>
  <si>
    <t>Other Operating Expenses</t>
  </si>
  <si>
    <t>OPERATING PROFIT OR (LOSS)</t>
  </si>
  <si>
    <t>DOES DEPRECIATION EXPENSE AFFECT CASH FLOW?</t>
  </si>
  <si>
    <t>SITUATION</t>
  </si>
  <si>
    <t>YEAR 1</t>
  </si>
  <si>
    <t>YEAR 2</t>
  </si>
  <si>
    <t>YEAR 3</t>
  </si>
  <si>
    <t>1.</t>
  </si>
  <si>
    <t>2.</t>
  </si>
  <si>
    <t>Expense</t>
  </si>
  <si>
    <t>Add back: Depreciation Expense</t>
  </si>
  <si>
    <t>Cash Flow From Operating Activities</t>
  </si>
  <si>
    <t>Capital Expenditures</t>
  </si>
  <si>
    <t>Proceeds from Sale of Assets</t>
  </si>
  <si>
    <t>Cash Flow from Investing Activities</t>
  </si>
  <si>
    <t>Dividends Paid</t>
  </si>
  <si>
    <t>Cash Flow from Financing Activities</t>
  </si>
  <si>
    <t>Cash Balance at Beginning Of Year</t>
  </si>
  <si>
    <t>Cash Balance at End of Year</t>
  </si>
  <si>
    <t>3.</t>
  </si>
  <si>
    <t>CUMULATIVE</t>
  </si>
  <si>
    <t>Notice the "Cumulative" column: Cumulative depreciation equals cumulative cash flow.  Depreciation is simply a spreading out of the cash flow.</t>
  </si>
  <si>
    <t>NET PROFIT OR (LOSS), EQUALS NET CASH FLOW</t>
  </si>
  <si>
    <t>PRETAX PROFIT OR (LOSS), EQUALS PRETAX CASH FLOW</t>
  </si>
  <si>
    <t>Notice that the net profit line above is smooth, but the Cumulative column hasn't changed.</t>
  </si>
  <si>
    <t>BUT YOUR ACCOUNTING INCOME STATEMENTS WILL LOOK LIKE THIS:</t>
  </si>
  <si>
    <t>AND YOUR CASH FLOW STATEMENTS (STANDARD FORMAT) WILL LOOK LIKE THIS:</t>
  </si>
  <si>
    <t>Additional Paid-in Capital</t>
  </si>
  <si>
    <t>The students who rent the printer are responsible for supplies and maintenance.</t>
  </si>
  <si>
    <t>You estimate the printer's useful life is 3 years, and at the end of that time you can sell it for $500.</t>
  </si>
  <si>
    <t>IN A REALLY SIMPLE WORLD, YOUR FINANCIALS MIGHT LOOK LIKE THIS:</t>
  </si>
  <si>
    <t>Buying and Selling of 3-D Printer</t>
  </si>
  <si>
    <t>Depreciation Expense</t>
  </si>
  <si>
    <t>Notice that the net profit line is rather lumpy.</t>
  </si>
  <si>
    <t>You buy the printer for cash, &amp; sell it 3 yrs later.</t>
  </si>
  <si>
    <t>You record depreciation expense for the printer</t>
  </si>
  <si>
    <t>Accounting rules require you to "recognize" the printer's cost by spreading it over the estimated useful life.</t>
  </si>
  <si>
    <t>Change in Working Capital &amp; Other Operating Activities</t>
  </si>
  <si>
    <t>NET PROFIT (OR LOSS)</t>
  </si>
  <si>
    <t>Net Profit (Or Loss) from Above</t>
  </si>
  <si>
    <t>Revenue</t>
  </si>
  <si>
    <t>Suppose you have a really simple business: you've bought a new 3-D printer, and you rent it out to fellow SNHU students for $4000/yr.</t>
  </si>
  <si>
    <t>You rent it to other students for $4,000 / year</t>
  </si>
  <si>
    <t>Tax Refunds or (Payments), @ 40% Tax Rate</t>
  </si>
  <si>
    <t>Tax Provision Expense @40% Tax Rate</t>
  </si>
  <si>
    <t>USD</t>
  </si>
  <si>
    <t>SCALING: x</t>
  </si>
  <si>
    <t>&lt;--</t>
  </si>
  <si>
    <t>INCOME STATEMENT HIGHLIGHTS</t>
  </si>
  <si>
    <t xml:space="preserve"> An organization's fiscal year might end on Dec 31, or June 30, or something else. State it here.</t>
  </si>
  <si>
    <t>% Growth vs Prior Year</t>
  </si>
  <si>
    <t>Gross Profit or (Loss)</t>
  </si>
  <si>
    <t>Net Income or (Loss) from Continuing Operations</t>
  </si>
  <si>
    <t>FYI, most analysts consider this better than total Net Income as an indicator of underlying business performance.</t>
  </si>
  <si>
    <t>Discontinued Operations Income (Loss), Net</t>
  </si>
  <si>
    <t>Typically, from shutting down or selling part of the business.</t>
  </si>
  <si>
    <t>NET INCOME OR (LOSS)</t>
  </si>
  <si>
    <t>Make sure this value is scaled the same way as the other numbers (thousands or millions).</t>
  </si>
  <si>
    <t>Net Income Margin %</t>
  </si>
  <si>
    <t>Net income or Loss / Total Revenue. Typical values are 2% to 20%, but it can be negative, too.</t>
  </si>
  <si>
    <t>Common Stock Share Price at each Year-End</t>
  </si>
  <si>
    <t>Price / Earnings Ratio (P/E)</t>
  </si>
  <si>
    <t>Market price at the end of the year divided by that year's earnings per share. Typical values are 10 to 30.</t>
  </si>
  <si>
    <t>CASH FLOW STATEMENT HIGHLIGHTS</t>
  </si>
  <si>
    <t>Net Income or (Loss), from Above</t>
  </si>
  <si>
    <t>Depreciation and Amortization Expense</t>
  </si>
  <si>
    <t>This is a noncash expense, so we add it back to net income here.</t>
  </si>
  <si>
    <t>Other Operating Sources and (Uses)</t>
  </si>
  <si>
    <t>By entering the total here, the row above will be automatically calculated.</t>
  </si>
  <si>
    <t>Other Investing Activities</t>
  </si>
  <si>
    <t>Increase or (Decrease) in Debt</t>
  </si>
  <si>
    <t xml:space="preserve"> Dividend payments should normally be a negative number, because they are a cash outflow.</t>
  </si>
  <si>
    <t>Other Financing Activities</t>
  </si>
  <si>
    <t>Cumulative Translation Adjustment</t>
  </si>
  <si>
    <t>Memo: Free Cash Flow</t>
  </si>
  <si>
    <t>BALANCE SHEET HIGHLIGHTS</t>
  </si>
  <si>
    <t>Current Assets</t>
  </si>
  <si>
    <t>Total Current Assets</t>
  </si>
  <si>
    <t>Non-current Assets</t>
  </si>
  <si>
    <t>Property, Plant and Equipment, Net</t>
  </si>
  <si>
    <t>These are for PP&amp;E net of accumulated depreciation.</t>
  </si>
  <si>
    <t>Other Non-current Assets</t>
  </si>
  <si>
    <t>Total Non-current Assets</t>
  </si>
  <si>
    <t>TOTAL ASSETS</t>
  </si>
  <si>
    <t>Enter Total Assets, and the spreadsheet will calculate Total Noncurrent Assets and Other Noncurrent Assets.</t>
  </si>
  <si>
    <t>Current Liabilities</t>
  </si>
  <si>
    <t>Accounts Payable, Net</t>
  </si>
  <si>
    <t>These are for bills the organization has received but not yet paid.</t>
  </si>
  <si>
    <t>Other Current Liabilities</t>
  </si>
  <si>
    <t>Total Current Liabilities</t>
  </si>
  <si>
    <t>Non-current Liabilities</t>
  </si>
  <si>
    <t>Long-term Debt</t>
  </si>
  <si>
    <t>Total Non-current Liabilities</t>
  </si>
  <si>
    <t>TOTAL LIABILITIES</t>
  </si>
  <si>
    <t>Common Stock, at par</t>
  </si>
  <si>
    <t>SELECTED FINANCIAL RATIOS</t>
  </si>
  <si>
    <t>FINANCIAL RATIOS</t>
  </si>
  <si>
    <t>Price / Earnings Ratio</t>
  </si>
  <si>
    <t>Return on Equity (ROE) %</t>
  </si>
  <si>
    <t>Return on Assets (ROA) %</t>
  </si>
  <si>
    <t>Net Profit Margin %</t>
  </si>
  <si>
    <t>Free Cash Flow</t>
  </si>
  <si>
    <t>OTHER USEFUL RATIOS</t>
  </si>
  <si>
    <t>Earnings per Share or EPS</t>
  </si>
  <si>
    <t>Current Ratio</t>
  </si>
  <si>
    <t>COMMON STOCK PRICE</t>
  </si>
  <si>
    <t>RATE OF RETURN CALCULATIONS</t>
  </si>
  <si>
    <t>Pct Change</t>
  </si>
  <si>
    <t>Annual Dividends per Share</t>
  </si>
  <si>
    <t>Approximate dividends/share are calculated here, but you may want to override those with disclosed div/share figures.</t>
  </si>
  <si>
    <t>Not required here, but a more complete measurement.</t>
  </si>
  <si>
    <t>BUT WHAT IF WE VIEW THIS AS A TIME VALUE OF MONEY QUESTION?</t>
  </si>
  <si>
    <t>Investor's Annual Cash Flow for 1 Share</t>
  </si>
  <si>
    <t>Solve for the annual Internal Rate of Return or IRR, with N=3 Yrs</t>
  </si>
  <si>
    <t>This IRR is the best overall measure of this stock's performance over the time period.</t>
  </si>
  <si>
    <t>CURRENCY:</t>
  </si>
  <si>
    <t>All Other Current Assets</t>
  </si>
  <si>
    <t>Capital Funding Amount</t>
  </si>
  <si>
    <t>Enter Company Full Name:</t>
  </si>
  <si>
    <t>CAPITAL STRUCTURE</t>
  </si>
  <si>
    <t>Total Equity Value (= share price x shares)</t>
  </si>
  <si>
    <t>Better to use end-of-year shares outstanding, but this figure is close enough for this course.</t>
  </si>
  <si>
    <t>Fiscal Year --&gt;</t>
  </si>
  <si>
    <t>Total</t>
  </si>
  <si>
    <t>For the project analysis, we EXCLUDE the funding proceeds &amp; repayment.</t>
  </si>
  <si>
    <t>IRR</t>
  </si>
  <si>
    <t>Projections of future cash flows are always uncertain; consider doing several scenarios of cash flows, such as most likely, best case,</t>
  </si>
  <si>
    <t>and worst case.</t>
  </si>
  <si>
    <t>You should use a low discount rate to calculate NPV for low-risk projects such as replacing equipment; perhaps 5%. Use a higher rate, such as</t>
  </si>
  <si>
    <t>Growth Rate vs Prior Year</t>
  </si>
  <si>
    <t>[Other]</t>
  </si>
  <si>
    <t>Common Stock: At Par</t>
  </si>
  <si>
    <t>Common Stock: Add'l Paid-in Capital</t>
  </si>
  <si>
    <t>The internal rate of return (IRR) of the future cash flows investors expect to receive. Use a spreadsheet IRR function to calculate.</t>
  </si>
  <si>
    <t>Enter Fiscal Year:</t>
  </si>
  <si>
    <t>Leases (a form of Debt)</t>
  </si>
  <si>
    <t>Total Debt, incl. Leases &amp; Preferred Stock</t>
  </si>
  <si>
    <t>Total Equity, incl "Other"</t>
  </si>
  <si>
    <t>Amount</t>
  </si>
  <si>
    <t>Pct of Total</t>
  </si>
  <si>
    <t xml:space="preserve">So Debt/Equity Ratio = </t>
  </si>
  <si>
    <t>And Debt/Total Capital Ratio =</t>
  </si>
  <si>
    <t>WEIGHTED AVERAGE COST OF CAPITAL:</t>
  </si>
  <si>
    <t>Total Operating Expenses</t>
  </si>
  <si>
    <t>VALUATION CALCULATIONS</t>
  </si>
  <si>
    <t>MODIFIED INTERNAL RATE OF RETURN (MIRR)</t>
  </si>
  <si>
    <t>Financing Rate</t>
  </si>
  <si>
    <t>Reinivestment Rate</t>
  </si>
  <si>
    <t>MIRR</t>
  </si>
  <si>
    <t>ECONOMIC VALUE ADDED (EVA), ALSO CALLED ECONOMIC PROFIT</t>
  </si>
  <si>
    <t>Invested Capital</t>
  </si>
  <si>
    <t>WACC</t>
  </si>
  <si>
    <t>EVA = Net Income - (Invested Capital x WACC)</t>
  </si>
  <si>
    <t>&lt;-- This is the organization's home or functional currency. E.g., USD, INR (Indian Rupee), BRL (Brazilian Real), EUR (Euro), CNY (Chinese Yuan). Information is found on financial statements.</t>
  </si>
  <si>
    <t xml:space="preserve"> The currency and scaling needs to be defined.</t>
  </si>
  <si>
    <t xml:space="preserve"> Any financial report should show the name of the organization in the heading.</t>
  </si>
  <si>
    <t xml:space="preserve"> Always identify the type of report.</t>
  </si>
  <si>
    <t>Confirm this matches what is listed on the financial statement you downloaded.</t>
  </si>
  <si>
    <t>Include APA citation for where you found the financial statement data.</t>
  </si>
  <si>
    <t>Mergent Online instructions include how to find historical stock prices. Go back four years because you will need fourth year for Line 123.</t>
  </si>
  <si>
    <t>START HERE</t>
  </si>
  <si>
    <t xml:space="preserve"> This is normally a negative number.</t>
  </si>
  <si>
    <t>These are working capital changes and other adjustments.</t>
  </si>
  <si>
    <t>Enter total current assets values, and the spreadsheet will calculate "other current assets."</t>
  </si>
  <si>
    <t>Net Income / Diluted Shares Outstanding. Typical values are $1.00 to $10.00. May also be negative.</t>
  </si>
  <si>
    <t>Current Assets / Current Liabilities. Typical values are 0.7 to 1.5.</t>
  </si>
  <si>
    <t>Net Income / Total Revenue. Typical values are 1% to 15%.</t>
  </si>
  <si>
    <t>Net Income / Total Assets. Typical values are 2% to 40%. Almost always LOWER than ROE.</t>
  </si>
  <si>
    <t>For an investor who buys 1 share at beginning, collects dividends, then sells at end of third year.</t>
  </si>
  <si>
    <t>Includes intellectual property (IP), such as patents and acquired technology.</t>
  </si>
  <si>
    <t>Need fiscal end-of-year information for four years to calculate three-year percentage change.</t>
  </si>
  <si>
    <t xml:space="preserve">This tab is used to calculate Weighted Average Cost of Capital (WACC). Enter data in the yellow cells only. Comments to help you are indicated by a red triangle in the top right corner of cell; hover over the cell to review. </t>
  </si>
  <si>
    <t>The Corporate Marginal Tax Rate only affects debt and leases. For businesses, it is usually between 0% and 50%. For nonprofits and goverments, it is always 0%.</t>
  </si>
  <si>
    <t>Retained Earnings are basically common stock dividends that have not been paid out. Retained earnings therefore have the same required rate of return as common stock.</t>
  </si>
  <si>
    <t>Evaluate reasonable estimates for industry averages or for other organizations with similar risk. Not easy, by the way.</t>
  </si>
  <si>
    <t>&lt;-- Could be x1 (such as just dollars), x1000 (meaning amounts in Thousands), or Millions (meaning amounts in millions). We will use x1000.</t>
  </si>
  <si>
    <t>&lt;-- Probably U.S. dollars, or perhaps another (e.g., euros or pesos). We will use U.S. dollars.</t>
  </si>
  <si>
    <r>
      <t xml:space="preserve"> Replace </t>
    </r>
    <r>
      <rPr>
        <b/>
        <i/>
        <u val="singleAccounting"/>
        <sz val="8"/>
        <color rgb="FF0070C0"/>
        <rFont val="Arial"/>
        <family val="2"/>
      </rPr>
      <t>leftmost</t>
    </r>
    <r>
      <rPr>
        <sz val="8"/>
        <color rgb="FF0070C0"/>
        <rFont val="Arial"/>
        <family val="2"/>
      </rPr>
      <t xml:space="preserve"> year number (Cell C9) with most recent year of data available.</t>
    </r>
  </si>
  <si>
    <t>Cost of revenues</t>
  </si>
  <si>
    <t>OPERATING INCOME or (Loss)</t>
  </si>
  <si>
    <t>To enter multiple numbers, the formula would start with the equal sign like this: =1278022+1052778+863568</t>
  </si>
  <si>
    <t>Cost of revenues is also referred to as cost of goods sold</t>
  </si>
  <si>
    <t>Interest expense</t>
  </si>
  <si>
    <t>Interest &amp; other income (expense)</t>
  </si>
  <si>
    <t>Provision for (or benefit from) Income Taxes</t>
  </si>
  <si>
    <t>Weighted average (Number of) Diluted Shares Outstanding</t>
  </si>
  <si>
    <t>For Fiscal Years ending:</t>
  </si>
  <si>
    <t xml:space="preserve"> This is normally a negative number. </t>
  </si>
  <si>
    <t xml:space="preserve"> This is normally a negative number. By entering the total here, the row above will be automatically calculated.</t>
  </si>
  <si>
    <t>Dividend Payments</t>
  </si>
  <si>
    <t>Increase or (Decrease) in Common Stock</t>
  </si>
  <si>
    <t xml:space="preserve"> Borrowing money (debt) is a source of cash, "proceeds," repaying it is a use of cash.</t>
  </si>
  <si>
    <t xml:space="preserve"> Issuing stock is a source of cash, "proceeds," repurchasing it is a use of cash</t>
  </si>
  <si>
    <t>Don't try to understand what this exchange rate-related number means at this time. It is applicable to most multicurrency organizations.</t>
  </si>
  <si>
    <t>Purchases of property &amp; equip., &amp; other capital expenditures</t>
  </si>
  <si>
    <t>Formula is Op Cash Flow less absolute value of Cap Exp, e.g., 1,000-100 = 900. Free Cash Flow must be less than Operating Cash Flow.</t>
  </si>
  <si>
    <t>absolute value of that number; this means change the negative sign to positive for the calculation. If Cap Expenditures are -$100:</t>
  </si>
  <si>
    <t xml:space="preserve">Usually defined as Cash Flow from Operating Actitivies less Capital Expenditures. Note: If cap exp is a negative number, you will use the  </t>
  </si>
  <si>
    <t>Payments would be entered as a negative.</t>
  </si>
  <si>
    <t>INCOME (LOSS) BEFORE INCOME TAXES</t>
  </si>
  <si>
    <t>DILUTED EARNINGS OR (LOSS) PER SHARE</t>
  </si>
  <si>
    <t>Adjusted Close Stock Price at fiscal End of Year (EOY)</t>
  </si>
  <si>
    <t>Cash &amp; cash equivalents</t>
  </si>
  <si>
    <t xml:space="preserve">Cash equivalents include Accounts Receivable (invoices the organization has sent to clients, but that they have not yet paid) although some disagree AR should be considered this. </t>
  </si>
  <si>
    <t>Other Non-current Liabilities</t>
  </si>
  <si>
    <t>Enter Total Liabilities and spreadsheet will calculate other non-current and total liabilities.</t>
  </si>
  <si>
    <t>Cumulative Translation Adjustment and Other</t>
  </si>
  <si>
    <t>Total Debt / Equity Ratio</t>
  </si>
  <si>
    <t xml:space="preserve">Comments to help you fill in yellow data entry boxes are in blue or red font. Take one row at a time: read row comment and enter data in the yellow cells only. </t>
  </si>
  <si>
    <t>Price per Share / Earnings per Share. Typical values are 10 to 40 times.</t>
  </si>
  <si>
    <t>Debt Ratio</t>
  </si>
  <si>
    <t>Total Liabilities / Total Assets. Result &lt; 0.5, most of the assets are financed through equity. Result &gt; 0.5, most of the assets are financed through debt.</t>
  </si>
  <si>
    <t>(Note to Instructional Designers and Teachers: Financial History tab data does not feed into this worksheet.)</t>
  </si>
  <si>
    <t>TOTAL CAPITAL</t>
  </si>
  <si>
    <t>Total Liabilities / Total Shareholders' Equity. Typical values are 0.2 to 0.6.</t>
  </si>
  <si>
    <t>Net Income / Total Shareholders' Equity. Typical values are 2% to 40%.</t>
  </si>
  <si>
    <t xml:space="preserve">Confirm this matches what is listed on the financial statement you downloaded. By definition, Shareholders' equity equals total assets minus total liabilities. </t>
  </si>
  <si>
    <t>Total Liabilities+Total Shareholders' Equity</t>
  </si>
  <si>
    <t>Confirm this matches Total Assets since Total Assets = Total Liabilities + Total Shareholders' Equity</t>
  </si>
  <si>
    <t>SHAREHOLDERS' EQUITY</t>
  </si>
  <si>
    <t>TOTAL SHAREHOLDERS' EQUITY</t>
  </si>
  <si>
    <t>Dividend Constant Growth Stock Valuation Model:</t>
  </si>
  <si>
    <t>In an organization, the treasurer is typically the best source for all of this information.</t>
  </si>
  <si>
    <t>For this, ROI% = ($End - $Beg) / $Beg. More precisely, you would add dividends received to the $End value.</t>
  </si>
  <si>
    <t>If FCF is negative, consider what that means. Is a negative FCF a bad thing?</t>
  </si>
  <si>
    <t>For this course, we will assume zero change over 10 years.</t>
  </si>
  <si>
    <t>This tab is used for the corporate valuation report (Final Project I). Enter data (forecasts based on assumptions you will explain in written report) in yellow cells only. Past performance and trends, text, course resources, research and most recent Annual Report Form 10-K on https://www.sec.gov/edgar/searchedgar/companysearch.html and on Mergent Online (under Reports) will help you determine assumptions. Questions? Post to your class General Questions discussion board or ask your instructor.</t>
  </si>
  <si>
    <t>@ discount rate of</t>
  </si>
  <si>
    <t>Cash Flow from Operating Activities</t>
  </si>
  <si>
    <t>(From Financial History worksheet, = share price x # of shares)</t>
  </si>
  <si>
    <t>&lt;-- Assumes cash flows are reinvested at the IRR. In reality (vs. assumption), it might or might not equal the IRR from above.</t>
  </si>
  <si>
    <t>Internal Rate of Return (IRR)</t>
  </si>
  <si>
    <t>10%, for medium-risk projects, and use a higher rate of, say, 15% or 20% for the riskiest projects. Company treasurer would have this information.</t>
  </si>
  <si>
    <t>&lt;-- This is the assumed cost to obtain financing. It could be the firm's cost of equity (rate of return a shareholder requires for investing into the business).</t>
  </si>
  <si>
    <t>Note: Working Capital is Total Current Assets - Total Current Liabilities</t>
  </si>
  <si>
    <t xml:space="preserve"> Usually, somewhere between a few dollars and a couple of hundred dollars per share</t>
  </si>
  <si>
    <t>Note: Working Capital, capital used for day-to-day operations, is Total Current Assets - Total Current Liabilities</t>
  </si>
  <si>
    <t>NET PRESENT VALUE "NPV" OF FUTURE FREE CASH FLOWS</t>
  </si>
  <si>
    <t>Free Cash Flows w/Initial Investment</t>
  </si>
  <si>
    <t>Positive cumulative cash flows during the 10-year period?</t>
  </si>
  <si>
    <t>Cumulative (initial cash outflow and future FCF's)</t>
  </si>
  <si>
    <t>Net Operating Profit After Tax (NOPAT)</t>
  </si>
  <si>
    <t>Assumed Tax Rate (for NOPAT calculation below)</t>
  </si>
  <si>
    <t>Profit (the P in NOPAT) = Income</t>
  </si>
  <si>
    <t>For low-risk companies. The value here is what you may be willing to pay to buy the company under these assumptions.</t>
  </si>
  <si>
    <t>For medium-risk companies. The value here is what you may be willing to pay to buy the company under these assumptions.</t>
  </si>
  <si>
    <t>For high-risk companies. The value here is what you may be willing to pay to buy the company under these assumptions.</t>
  </si>
  <si>
    <t>Breakeven point happens between the years when the negative cumulative NCF first changes to positive. (It could turn negative again in future years.) Discounted Payback Period formula needed to determine accurate year/months result.</t>
  </si>
  <si>
    <t>EVA Cash Flows</t>
  </si>
  <si>
    <t>We are only looking five years in the future for this introductory course but many analysts would forecast to 10 years.</t>
  </si>
  <si>
    <t>This introductory forecasting spreadsheet does not consider Terminal Value; the continuing value after the 5-year period.</t>
  </si>
  <si>
    <t xml:space="preserve">Operating Margin </t>
  </si>
  <si>
    <t>Operating margin equals Operating Income (or Loss) divided by Revenue.</t>
  </si>
  <si>
    <r>
      <t xml:space="preserve">FREE CASH FLOW "FCF" </t>
    </r>
    <r>
      <rPr>
        <sz val="8"/>
        <rFont val="Arial"/>
        <family val="2"/>
      </rPr>
      <t>(from above)</t>
    </r>
  </si>
  <si>
    <t>Initial Investment = initial cash outflow, which would be entered as a negative</t>
  </si>
  <si>
    <t>At this discount rate (IRR,) the present value of future cash flows (Cells F56 through O56) equals initial invesment (E56) aka NPV will equal $0. Consider what the result means especially if it's negative. Also consider what forecasting additional years may do to this rate.</t>
  </si>
  <si>
    <t>&lt;-- Local currency units: Usually 1000 is used. For example, if financial statement on Mergent Online says Scale = Thousands, 2,822,795 listed is actually 2,822,795,000.</t>
  </si>
  <si>
    <t>TOTAL REVENUES</t>
  </si>
  <si>
    <t>dec</t>
  </si>
  <si>
    <t>Amazon</t>
  </si>
  <si>
    <t>yahoo finance. (2020) Retrieved From: https://finance.yahoo.com/quote/AMZN/financials/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</si>
</sst>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quot;$&quot;#,##0.00"/>
    <numFmt numFmtId="165" formatCode="0.0000%"/>
    <numFmt numFmtId="166" formatCode="_(&quot;$&quot;* #,##0_);_(&quot;$&quot;* \(#,##0\);_(&quot;$&quot;* &quot;-&quot;??_);_(@_)"/>
    <numFmt numFmtId="167" formatCode="0.0%"/>
    <numFmt numFmtId="168" formatCode="_(&quot;$&quot;* #,##0.0_);_(&quot;$&quot;* \(#,##0.0\);_(&quot;$&quot;* &quot;-&quot;??_);_(@_)"/>
    <numFmt numFmtId="169" formatCode="_(* #,##0.0_);_(* \(#,##0.0\);_(* &quot;-&quot;??_);_(@_)"/>
    <numFmt numFmtId="170" formatCode="_(* #,##0_);_(* \(#,##0\)"/>
    <numFmt numFmtId="171" formatCode="_(* ###0_);_(* \(###0\);_(* &quot;-&quot;_);_(@_)"/>
    <numFmt numFmtId="172" formatCode="#,##0.0_);\(#,##0.0\)"/>
    <numFmt numFmtId="173" formatCode="_(&quot;$&quot;* #,##0.0000_);_(&quot;$&quot;* \(#,##0.0000\);_(&quot;$&quot;* &quot;-&quot;??_);_(@_)"/>
    <numFmt numFmtId="174" formatCode="[$-F800]dddd\,\ mmmm\ dd\,\ yyyy"/>
    <numFmt numFmtId="175" formatCode="_(&quot;$&quot;* #,##0_);_(&quot;$&quot;* \(#,##0\)"/>
    <numFmt numFmtId="176" formatCode="&quot;$&quot;#,##0"/>
  </numFmts>
  <fonts count="73" x14ac:knownFonts="1">
    <font>
      <sz val="10"/>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i/>
      <sz val="8"/>
      <name val="Arial"/>
      <family val="2"/>
    </font>
    <font>
      <b/>
      <sz val="10"/>
      <name val="Arial"/>
      <family val="2"/>
    </font>
    <font>
      <sz val="10"/>
      <name val="Arial"/>
      <family val="2"/>
    </font>
    <font>
      <u/>
      <sz val="10"/>
      <name val="Arial"/>
      <family val="2"/>
    </font>
    <font>
      <b/>
      <sz val="8"/>
      <name val="Arial"/>
      <family val="2"/>
    </font>
    <font>
      <u val="singleAccounting"/>
      <sz val="8"/>
      <name val="Arial"/>
      <family val="2"/>
    </font>
    <font>
      <sz val="8"/>
      <color rgb="FF002060"/>
      <name val="Arial"/>
      <family val="2"/>
    </font>
    <font>
      <u/>
      <sz val="8"/>
      <name val="Arial"/>
      <family val="2"/>
    </font>
    <font>
      <u/>
      <sz val="8"/>
      <color rgb="FF002060"/>
      <name val="Arial"/>
      <family val="2"/>
    </font>
    <font>
      <b/>
      <u val="doubleAccounting"/>
      <sz val="8"/>
      <name val="Arial"/>
      <family val="2"/>
    </font>
    <font>
      <b/>
      <sz val="8"/>
      <color rgb="FF002060"/>
      <name val="Arial"/>
      <family val="2"/>
    </font>
    <font>
      <u val="doubleAccounting"/>
      <sz val="8"/>
      <name val="Arial"/>
      <family val="2"/>
    </font>
    <font>
      <b/>
      <sz val="8"/>
      <color theme="1"/>
      <name val="Arial"/>
      <family val="2"/>
    </font>
    <font>
      <b/>
      <sz val="14"/>
      <color theme="0"/>
      <name val="Arial"/>
      <family val="2"/>
    </font>
    <font>
      <b/>
      <i/>
      <sz val="11"/>
      <color rgb="FFFFFF00"/>
      <name val="Arial"/>
      <family val="2"/>
    </font>
    <font>
      <b/>
      <i/>
      <sz val="11"/>
      <name val="Arial"/>
      <family val="2"/>
    </font>
    <font>
      <b/>
      <i/>
      <sz val="8"/>
      <name val="Arial"/>
      <family val="2"/>
    </font>
    <font>
      <b/>
      <sz val="8"/>
      <color rgb="FFFF0000"/>
      <name val="Arial"/>
      <family val="2"/>
    </font>
    <font>
      <b/>
      <i/>
      <sz val="12"/>
      <name val="Arial"/>
      <family val="2"/>
    </font>
    <font>
      <b/>
      <i/>
      <sz val="12"/>
      <color rgb="FFFFFF00"/>
      <name val="Arial"/>
      <family val="2"/>
    </font>
    <font>
      <sz val="8"/>
      <color rgb="FFFFFF00"/>
      <name val="Arial"/>
      <family val="2"/>
    </font>
    <font>
      <sz val="9"/>
      <color indexed="81"/>
      <name val="Tahoma"/>
      <family val="2"/>
    </font>
    <font>
      <b/>
      <sz val="9"/>
      <color indexed="81"/>
      <name val="Tahoma"/>
      <family val="2"/>
    </font>
    <font>
      <b/>
      <u/>
      <sz val="8"/>
      <name val="Arial"/>
      <family val="2"/>
    </font>
    <font>
      <b/>
      <u val="singleAccounting"/>
      <sz val="8"/>
      <name val="Arial"/>
      <family val="2"/>
    </font>
    <font>
      <b/>
      <sz val="8"/>
      <color theme="4"/>
      <name val="Arial"/>
      <family val="2"/>
    </font>
    <font>
      <sz val="8"/>
      <color theme="1" tint="0.34998626667073579"/>
      <name val="Arial"/>
      <family val="2"/>
    </font>
    <font>
      <b/>
      <u val="singleAccounting"/>
      <sz val="8"/>
      <color theme="4"/>
      <name val="Arial"/>
      <family val="2"/>
    </font>
    <font>
      <b/>
      <i/>
      <sz val="8"/>
      <color theme="4"/>
      <name val="Arial"/>
      <family val="2"/>
    </font>
    <font>
      <b/>
      <sz val="8"/>
      <color rgb="FF0070C0"/>
      <name val="Arial"/>
      <family val="2"/>
    </font>
    <font>
      <b/>
      <u val="singleAccounting"/>
      <sz val="8"/>
      <color theme="1"/>
      <name val="Arial"/>
      <family val="2"/>
    </font>
    <font>
      <sz val="8"/>
      <color theme="4"/>
      <name val="Arial"/>
      <family val="2"/>
    </font>
    <font>
      <b/>
      <sz val="9"/>
      <name val="Arial"/>
      <family val="2"/>
    </font>
    <font>
      <b/>
      <sz val="9"/>
      <color rgb="FFFFFF00"/>
      <name val="Arial"/>
      <family val="2"/>
    </font>
    <font>
      <i/>
      <sz val="9"/>
      <name val="Arial"/>
      <family val="2"/>
    </font>
    <font>
      <i/>
      <sz val="9"/>
      <color rgb="FFFFFF00"/>
      <name val="Arial"/>
      <family val="2"/>
    </font>
    <font>
      <b/>
      <i/>
      <sz val="9"/>
      <color rgb="FFFFFF00"/>
      <name val="Arial"/>
      <family val="2"/>
    </font>
    <font>
      <u val="double"/>
      <sz val="8"/>
      <color rgb="FF002060"/>
      <name val="Arial"/>
      <family val="2"/>
    </font>
    <font>
      <sz val="8"/>
      <color rgb="FFFF0000"/>
      <name val="Arial"/>
      <family val="2"/>
    </font>
    <font>
      <b/>
      <sz val="8"/>
      <color rgb="FFFFFF99"/>
      <name val="Arial"/>
      <family val="2"/>
    </font>
    <font>
      <b/>
      <sz val="12"/>
      <color rgb="FFFF0000"/>
      <name val="Arial"/>
      <family val="2"/>
    </font>
    <font>
      <sz val="12"/>
      <color rgb="FFFF0000"/>
      <name val="Arial"/>
      <family val="2"/>
    </font>
    <font>
      <sz val="8"/>
      <color rgb="FF0070C0"/>
      <name val="Arial"/>
      <family val="2"/>
    </font>
    <font>
      <b/>
      <sz val="14"/>
      <name val="Arial"/>
      <family val="2"/>
    </font>
    <font>
      <b/>
      <i/>
      <u val="singleAccounting"/>
      <sz val="8"/>
      <color rgb="FF0070C0"/>
      <name val="Arial"/>
      <family val="2"/>
    </font>
    <font>
      <sz val="9"/>
      <color indexed="81"/>
      <name val="Tahoma"/>
      <charset val="1"/>
    </font>
    <font>
      <b/>
      <sz val="9"/>
      <color indexed="81"/>
      <name val="Tahoma"/>
      <charset val="1"/>
    </font>
    <font>
      <i/>
      <sz val="8"/>
      <color rgb="FFFF0000"/>
      <name val="Arial"/>
      <family val="2"/>
    </font>
    <font>
      <sz val="13"/>
      <color rgb="FF000000"/>
      <name val="Helvetica Neue"/>
      <family val="2"/>
    </font>
  </fonts>
  <fills count="18">
    <fill>
      <patternFill patternType="none"/>
    </fill>
    <fill>
      <patternFill patternType="gray125"/>
    </fill>
    <fill>
      <patternFill patternType="solid">
        <fgColor indexed="42"/>
        <bgColor indexed="31"/>
      </patternFill>
    </fill>
    <fill>
      <patternFill patternType="solid">
        <fgColor indexed="47"/>
        <bgColor indexed="31"/>
      </patternFill>
    </fill>
    <fill>
      <patternFill patternType="solid">
        <fgColor indexed="26"/>
        <bgColor indexed="9"/>
      </patternFill>
    </fill>
    <fill>
      <patternFill patternType="solid">
        <fgColor indexed="9"/>
        <bgColor indexed="26"/>
      </patternFill>
    </fill>
    <fill>
      <patternFill patternType="solid">
        <fgColor indexed="29"/>
        <bgColor indexed="45"/>
      </patternFill>
    </fill>
    <fill>
      <patternFill patternType="solid">
        <fgColor indexed="43"/>
        <bgColor indexed="26"/>
      </patternFill>
    </fill>
    <fill>
      <patternFill patternType="solid">
        <fgColor indexed="22"/>
        <bgColor indexed="55"/>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3"/>
        <bgColor indexed="10"/>
      </patternFill>
    </fill>
    <fill>
      <patternFill patternType="solid">
        <fgColor indexed="45"/>
        <bgColor indexed="29"/>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2"/>
      </bottom>
      <diagonal/>
    </border>
    <border>
      <left/>
      <right/>
      <top/>
      <bottom style="medium">
        <color indexed="4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auto="1"/>
      </right>
      <top style="medium">
        <color indexed="64"/>
      </top>
      <bottom style="thin">
        <color indexed="64"/>
      </bottom>
      <diagonal/>
    </border>
    <border>
      <left/>
      <right/>
      <top style="medium">
        <color indexed="64"/>
      </top>
      <bottom/>
      <diagonal/>
    </border>
  </borders>
  <cellStyleXfs count="50">
    <xf numFmtId="0" fontId="0" fillId="0" borderId="0">
      <alignment wrapText="1"/>
    </xf>
    <xf numFmtId="0" fontId="6" fillId="2" borderId="0" applyNumberFormat="0" applyBorder="0" applyProtection="0">
      <alignment wrapText="1"/>
    </xf>
    <xf numFmtId="0" fontId="6" fillId="3" borderId="0" applyNumberFormat="0" applyBorder="0" applyProtection="0">
      <alignment wrapText="1"/>
    </xf>
    <xf numFmtId="0" fontId="6" fillId="4" borderId="0" applyNumberFormat="0" applyBorder="0" applyProtection="0">
      <alignment wrapText="1"/>
    </xf>
    <xf numFmtId="0" fontId="6" fillId="5" borderId="0" applyNumberFormat="0" applyBorder="0" applyProtection="0">
      <alignment wrapText="1"/>
    </xf>
    <xf numFmtId="0" fontId="6" fillId="2" borderId="0" applyNumberFormat="0" applyBorder="0" applyProtection="0">
      <alignment wrapText="1"/>
    </xf>
    <xf numFmtId="0" fontId="6" fillId="3" borderId="0" applyNumberFormat="0" applyBorder="0" applyProtection="0">
      <alignment wrapText="1"/>
    </xf>
    <xf numFmtId="0" fontId="6" fillId="2" borderId="0" applyNumberFormat="0" applyBorder="0" applyProtection="0">
      <alignment wrapText="1"/>
    </xf>
    <xf numFmtId="0" fontId="6" fillId="6" borderId="0" applyNumberFormat="0" applyBorder="0" applyProtection="0">
      <alignment wrapText="1"/>
    </xf>
    <xf numFmtId="0" fontId="6" fillId="7" borderId="0" applyNumberFormat="0" applyBorder="0" applyProtection="0">
      <alignment wrapText="1"/>
    </xf>
    <xf numFmtId="0" fontId="6" fillId="8" borderId="0" applyNumberFormat="0" applyBorder="0" applyProtection="0">
      <alignment wrapText="1"/>
    </xf>
    <xf numFmtId="0" fontId="6" fillId="2" borderId="0" applyNumberFormat="0" applyBorder="0" applyProtection="0">
      <alignment wrapText="1"/>
    </xf>
    <xf numFmtId="0" fontId="6" fillId="3" borderId="0" applyNumberFormat="0" applyBorder="0" applyProtection="0">
      <alignment wrapText="1"/>
    </xf>
    <xf numFmtId="0" fontId="7" fillId="2" borderId="0" applyNumberFormat="0" applyBorder="0" applyProtection="0">
      <alignment wrapText="1"/>
    </xf>
    <xf numFmtId="0" fontId="7" fillId="6" borderId="0" applyNumberFormat="0" applyBorder="0" applyProtection="0">
      <alignment wrapText="1"/>
    </xf>
    <xf numFmtId="0" fontId="7" fillId="7" borderId="0" applyNumberFormat="0" applyBorder="0" applyProtection="0">
      <alignment wrapText="1"/>
    </xf>
    <xf numFmtId="0" fontId="7" fillId="8" borderId="0" applyNumberFormat="0" applyBorder="0" applyProtection="0">
      <alignment wrapText="1"/>
    </xf>
    <xf numFmtId="0" fontId="7" fillId="2" borderId="0" applyNumberFormat="0" applyBorder="0" applyProtection="0">
      <alignment wrapText="1"/>
    </xf>
    <xf numFmtId="0" fontId="7" fillId="3" borderId="0" applyNumberFormat="0" applyBorder="0" applyProtection="0">
      <alignment wrapText="1"/>
    </xf>
    <xf numFmtId="0" fontId="7" fillId="9" borderId="0" applyNumberFormat="0" applyBorder="0" applyProtection="0">
      <alignment wrapText="1"/>
    </xf>
    <xf numFmtId="0" fontId="7" fillId="10" borderId="0" applyNumberFormat="0" applyBorder="0" applyProtection="0">
      <alignment wrapText="1"/>
    </xf>
    <xf numFmtId="0" fontId="7" fillId="11" borderId="0" applyNumberFormat="0" applyBorder="0" applyProtection="0">
      <alignment wrapText="1"/>
    </xf>
    <xf numFmtId="0" fontId="7" fillId="12" borderId="0" applyNumberFormat="0" applyBorder="0" applyProtection="0">
      <alignment wrapText="1"/>
    </xf>
    <xf numFmtId="0" fontId="7" fillId="9" borderId="0" applyNumberFormat="0" applyBorder="0" applyProtection="0">
      <alignment wrapText="1"/>
    </xf>
    <xf numFmtId="0" fontId="7" fillId="13" borderId="0" applyNumberFormat="0" applyBorder="0" applyProtection="0">
      <alignment wrapText="1"/>
    </xf>
    <xf numFmtId="0" fontId="8" fillId="14" borderId="0" applyNumberFormat="0" applyBorder="0" applyProtection="0">
      <alignment wrapText="1"/>
    </xf>
    <xf numFmtId="0" fontId="9" fillId="5" borderId="1" applyNumberFormat="0" applyProtection="0">
      <alignment wrapText="1"/>
    </xf>
    <xf numFmtId="0" fontId="10" fillId="8" borderId="2" applyNumberFormat="0" applyProtection="0">
      <alignment wrapText="1"/>
    </xf>
    <xf numFmtId="0" fontId="11" fillId="0" borderId="0" applyNumberFormat="0" applyFill="0" applyBorder="0" applyProtection="0">
      <alignment wrapText="1"/>
    </xf>
    <xf numFmtId="0" fontId="12" fillId="2" borderId="0" applyNumberFormat="0" applyBorder="0" applyProtection="0">
      <alignment wrapText="1"/>
    </xf>
    <xf numFmtId="0" fontId="13" fillId="0" borderId="3" applyNumberFormat="0" applyFill="0" applyProtection="0">
      <alignment wrapText="1"/>
    </xf>
    <xf numFmtId="0" fontId="14" fillId="0" borderId="4" applyNumberFormat="0" applyFill="0" applyProtection="0">
      <alignment wrapText="1"/>
    </xf>
    <xf numFmtId="0" fontId="15" fillId="0" borderId="5" applyNumberFormat="0" applyFill="0" applyProtection="0">
      <alignment wrapText="1"/>
    </xf>
    <xf numFmtId="0" fontId="15" fillId="0" borderId="0" applyNumberFormat="0" applyFill="0" applyBorder="0" applyProtection="0">
      <alignment wrapText="1"/>
    </xf>
    <xf numFmtId="0" fontId="16" fillId="3" borderId="1" applyNumberFormat="0" applyProtection="0">
      <alignment wrapText="1"/>
    </xf>
    <xf numFmtId="0" fontId="17" fillId="0" borderId="6" applyNumberFormat="0" applyFill="0" applyProtection="0">
      <alignment wrapText="1"/>
    </xf>
    <xf numFmtId="0" fontId="18" fillId="7" borderId="0" applyNumberFormat="0" applyBorder="0" applyProtection="0">
      <alignment wrapText="1"/>
    </xf>
    <xf numFmtId="0" fontId="26" fillId="4" borderId="7" applyNumberFormat="0" applyProtection="0">
      <alignment wrapText="1"/>
    </xf>
    <xf numFmtId="0" fontId="19" fillId="5" borderId="8" applyNumberFormat="0" applyProtection="0">
      <alignment wrapText="1"/>
    </xf>
    <xf numFmtId="0" fontId="20" fillId="0" borderId="0" applyNumberFormat="0" applyFill="0" applyBorder="0" applyProtection="0">
      <alignment wrapText="1"/>
    </xf>
    <xf numFmtId="0" fontId="21" fillId="0" borderId="9" applyNumberFormat="0" applyFill="0" applyProtection="0">
      <alignment wrapText="1"/>
    </xf>
    <xf numFmtId="0" fontId="22" fillId="0" borderId="0" applyNumberFormat="0" applyFill="0" applyBorder="0" applyProtection="0">
      <alignment wrapText="1"/>
    </xf>
    <xf numFmtId="0" fontId="26" fillId="0" borderId="0">
      <alignment wrapText="1"/>
    </xf>
    <xf numFmtId="0" fontId="5" fillId="0" borderId="0"/>
    <xf numFmtId="44" fontId="5"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cellStyleXfs>
  <cellXfs count="460">
    <xf numFmtId="0" fontId="0" fillId="0" borderId="0" xfId="0">
      <alignment wrapText="1"/>
    </xf>
    <xf numFmtId="164" fontId="0" fillId="0" borderId="0" xfId="0" applyNumberFormat="1">
      <alignment wrapText="1"/>
    </xf>
    <xf numFmtId="0" fontId="0" fillId="0" borderId="10" xfId="0" applyBorder="1">
      <alignment wrapText="1"/>
    </xf>
    <xf numFmtId="0" fontId="0" fillId="0" borderId="10" xfId="0" applyBorder="1" applyAlignment="1">
      <alignment horizontal="right" wrapText="1"/>
    </xf>
    <xf numFmtId="0" fontId="0" fillId="0" borderId="11" xfId="0" applyBorder="1">
      <alignment wrapText="1"/>
    </xf>
    <xf numFmtId="165" fontId="0" fillId="0" borderId="0" xfId="0" applyNumberFormat="1" applyBorder="1">
      <alignment wrapText="1"/>
    </xf>
    <xf numFmtId="165" fontId="0" fillId="0" borderId="12" xfId="0" applyNumberFormat="1" applyBorder="1">
      <alignment wrapText="1"/>
    </xf>
    <xf numFmtId="164" fontId="0" fillId="0" borderId="0" xfId="0" applyNumberFormat="1" applyBorder="1">
      <alignment wrapText="1"/>
    </xf>
    <xf numFmtId="164" fontId="0" fillId="0" borderId="12" xfId="0" applyNumberFormat="1" applyBorder="1">
      <alignment wrapText="1"/>
    </xf>
    <xf numFmtId="164" fontId="27" fillId="0" borderId="0" xfId="0" applyNumberFormat="1" applyFont="1" applyBorder="1">
      <alignment wrapText="1"/>
    </xf>
    <xf numFmtId="164" fontId="27" fillId="0" borderId="12" xfId="0" applyNumberFormat="1" applyFont="1" applyBorder="1">
      <alignment wrapText="1"/>
    </xf>
    <xf numFmtId="0" fontId="0" fillId="0" borderId="13" xfId="0" applyBorder="1">
      <alignment wrapText="1"/>
    </xf>
    <xf numFmtId="164" fontId="0" fillId="0" borderId="14" xfId="0" applyNumberFormat="1" applyBorder="1">
      <alignment wrapText="1"/>
    </xf>
    <xf numFmtId="164" fontId="0" fillId="0" borderId="15" xfId="0" applyNumberFormat="1" applyBorder="1">
      <alignment wrapText="1"/>
    </xf>
    <xf numFmtId="41" fontId="28" fillId="0" borderId="20" xfId="42" applyNumberFormat="1" applyFont="1" applyBorder="1" applyAlignment="1">
      <alignment horizontal="centerContinuous"/>
    </xf>
    <xf numFmtId="41" fontId="28" fillId="0" borderId="21" xfId="42" applyNumberFormat="1" applyFont="1" applyBorder="1" applyAlignment="1">
      <alignment horizontal="centerContinuous"/>
    </xf>
    <xf numFmtId="0" fontId="5" fillId="0" borderId="0" xfId="43"/>
    <xf numFmtId="41" fontId="23" fillId="0" borderId="11" xfId="42" applyNumberFormat="1" applyFont="1" applyBorder="1" applyAlignment="1"/>
    <xf numFmtId="41" fontId="23" fillId="0" borderId="0" xfId="42" applyNumberFormat="1" applyFont="1" applyBorder="1" applyAlignment="1"/>
    <xf numFmtId="167" fontId="30" fillId="0" borderId="0" xfId="42" applyNumberFormat="1" applyFont="1" applyBorder="1" applyAlignment="1"/>
    <xf numFmtId="167" fontId="23" fillId="0" borderId="0" xfId="42" applyNumberFormat="1" applyFont="1" applyBorder="1" applyAlignment="1"/>
    <xf numFmtId="167" fontId="30" fillId="0" borderId="12" xfId="42" applyNumberFormat="1" applyFont="1" applyBorder="1" applyAlignment="1"/>
    <xf numFmtId="167" fontId="32" fillId="0" borderId="12" xfId="42" applyNumberFormat="1" applyFont="1" applyBorder="1" applyAlignment="1"/>
    <xf numFmtId="41" fontId="28" fillId="0" borderId="11" xfId="42" applyNumberFormat="1" applyFont="1" applyBorder="1" applyAlignment="1"/>
    <xf numFmtId="41" fontId="28" fillId="0" borderId="0" xfId="42" applyNumberFormat="1" applyFont="1" applyBorder="1" applyAlignment="1"/>
    <xf numFmtId="167" fontId="34" fillId="0" borderId="0" xfId="42" applyNumberFormat="1" applyFont="1" applyBorder="1" applyAlignment="1"/>
    <xf numFmtId="167" fontId="28" fillId="0" borderId="0" xfId="42" applyNumberFormat="1" applyFont="1" applyBorder="1" applyAlignment="1"/>
    <xf numFmtId="167" fontId="34" fillId="0" borderId="0" xfId="42" applyNumberFormat="1" applyFont="1" applyFill="1" applyBorder="1" applyAlignment="1">
      <alignment horizontal="right"/>
    </xf>
    <xf numFmtId="167" fontId="34" fillId="0" borderId="12" xfId="42" applyNumberFormat="1" applyFont="1" applyBorder="1" applyAlignment="1"/>
    <xf numFmtId="166" fontId="35" fillId="0" borderId="0" xfId="44" applyNumberFormat="1" applyFont="1" applyBorder="1" applyAlignment="1"/>
    <xf numFmtId="167" fontId="30" fillId="0" borderId="0" xfId="42" applyNumberFormat="1" applyFont="1" applyFill="1" applyBorder="1" applyAlignment="1"/>
    <xf numFmtId="167" fontId="30" fillId="0" borderId="11" xfId="42" applyNumberFormat="1" applyFont="1" applyFill="1" applyBorder="1" applyAlignment="1"/>
    <xf numFmtId="41" fontId="28" fillId="0" borderId="10" xfId="42" applyNumberFormat="1" applyFont="1" applyBorder="1" applyAlignment="1">
      <alignment horizontal="centerContinuous"/>
    </xf>
    <xf numFmtId="0" fontId="36" fillId="0" borderId="0" xfId="43" applyFont="1"/>
    <xf numFmtId="0" fontId="23" fillId="0" borderId="0" xfId="0" applyFont="1" applyFill="1" applyAlignment="1" applyProtection="1"/>
    <xf numFmtId="0" fontId="44" fillId="0" borderId="0" xfId="0" applyFont="1" applyFill="1" applyAlignment="1" applyProtection="1"/>
    <xf numFmtId="41" fontId="23" fillId="0" borderId="10" xfId="42" applyNumberFormat="1" applyFont="1" applyBorder="1" applyAlignment="1">
      <alignment horizontal="right" wrapText="1"/>
    </xf>
    <xf numFmtId="41" fontId="23" fillId="0" borderId="10" xfId="42" quotePrefix="1" applyNumberFormat="1" applyFont="1" applyBorder="1" applyAlignment="1">
      <alignment horizontal="right" wrapText="1"/>
    </xf>
    <xf numFmtId="41" fontId="28" fillId="0" borderId="13" xfId="42" applyNumberFormat="1" applyFont="1" applyFill="1" applyBorder="1" applyAlignment="1"/>
    <xf numFmtId="166" fontId="33" fillId="0" borderId="14" xfId="44" applyNumberFormat="1" applyFont="1" applyFill="1" applyBorder="1" applyAlignment="1"/>
    <xf numFmtId="41" fontId="28" fillId="0" borderId="14" xfId="42" applyNumberFormat="1" applyFont="1" applyFill="1" applyBorder="1" applyAlignment="1">
      <alignment horizontal="left"/>
    </xf>
    <xf numFmtId="166" fontId="34" fillId="0" borderId="14" xfId="42" applyNumberFormat="1" applyFont="1" applyFill="1" applyBorder="1" applyAlignment="1">
      <alignment horizontal="right"/>
    </xf>
    <xf numFmtId="167" fontId="34" fillId="0" borderId="15" xfId="42" applyNumberFormat="1" applyFont="1" applyFill="1" applyBorder="1" applyAlignment="1"/>
    <xf numFmtId="0" fontId="5" fillId="0" borderId="0" xfId="43" applyFill="1"/>
    <xf numFmtId="168" fontId="33" fillId="0" borderId="0" xfId="44" applyNumberFormat="1" applyFont="1" applyFill="1" applyBorder="1" applyAlignment="1"/>
    <xf numFmtId="0" fontId="5" fillId="0" borderId="14" xfId="43" applyBorder="1"/>
    <xf numFmtId="167" fontId="28" fillId="0" borderId="14" xfId="42" applyNumberFormat="1" applyFont="1" applyFill="1" applyBorder="1" applyAlignment="1">
      <alignment horizontal="center"/>
    </xf>
    <xf numFmtId="41" fontId="28" fillId="0" borderId="14" xfId="42" applyNumberFormat="1" applyFont="1" applyFill="1" applyBorder="1" applyAlignment="1"/>
    <xf numFmtId="0" fontId="4" fillId="0" borderId="0" xfId="43" applyFont="1"/>
    <xf numFmtId="167" fontId="30" fillId="0" borderId="0" xfId="42" applyNumberFormat="1" applyFont="1" applyFill="1" applyBorder="1" applyAlignment="1" applyProtection="1"/>
    <xf numFmtId="167" fontId="23" fillId="0" borderId="0" xfId="42" applyNumberFormat="1" applyFont="1" applyFill="1" applyBorder="1" applyAlignment="1" applyProtection="1"/>
    <xf numFmtId="41" fontId="24" fillId="0" borderId="19" xfId="42" applyNumberFormat="1" applyFont="1" applyBorder="1" applyAlignment="1"/>
    <xf numFmtId="0" fontId="43" fillId="0" borderId="0" xfId="0" applyFont="1" applyFill="1" applyAlignment="1"/>
    <xf numFmtId="41" fontId="23" fillId="0" borderId="21" xfId="42" applyNumberFormat="1" applyFont="1" applyBorder="1" applyAlignment="1">
      <alignment horizontal="right" wrapText="1"/>
    </xf>
    <xf numFmtId="41" fontId="28" fillId="0" borderId="16" xfId="42" applyNumberFormat="1" applyFont="1" applyBorder="1" applyAlignment="1">
      <alignment horizontal="centerContinuous"/>
    </xf>
    <xf numFmtId="41" fontId="28" fillId="0" borderId="17" xfId="42" applyNumberFormat="1" applyFont="1" applyBorder="1" applyAlignment="1">
      <alignment horizontal="centerContinuous"/>
    </xf>
    <xf numFmtId="41" fontId="24" fillId="0" borderId="21" xfId="42" applyNumberFormat="1" applyFont="1" applyBorder="1" applyAlignment="1"/>
    <xf numFmtId="0" fontId="3" fillId="0" borderId="0" xfId="43" applyFont="1"/>
    <xf numFmtId="166" fontId="25" fillId="0" borderId="0" xfId="0" applyNumberFormat="1" applyFont="1" applyAlignment="1"/>
    <xf numFmtId="166" fontId="25" fillId="0" borderId="0" xfId="0" applyNumberFormat="1" applyFont="1">
      <alignment wrapText="1"/>
    </xf>
    <xf numFmtId="166" fontId="23" fillId="0" borderId="0" xfId="0" applyNumberFormat="1" applyFont="1" applyAlignment="1"/>
    <xf numFmtId="166" fontId="23" fillId="0" borderId="0" xfId="0" applyNumberFormat="1" applyFont="1">
      <alignment wrapText="1"/>
    </xf>
    <xf numFmtId="166" fontId="23" fillId="0" borderId="19" xfId="0" applyNumberFormat="1" applyFont="1" applyBorder="1" applyAlignment="1"/>
    <xf numFmtId="166" fontId="23" fillId="0" borderId="20" xfId="0" applyNumberFormat="1" applyFont="1" applyBorder="1" applyAlignment="1"/>
    <xf numFmtId="166" fontId="23" fillId="0" borderId="10" xfId="0" applyNumberFormat="1" applyFont="1" applyBorder="1" applyAlignment="1"/>
    <xf numFmtId="166" fontId="23" fillId="0" borderId="21" xfId="0" applyNumberFormat="1" applyFont="1" applyBorder="1" applyAlignment="1">
      <alignment horizontal="right" wrapText="1"/>
    </xf>
    <xf numFmtId="166" fontId="23" fillId="0" borderId="10" xfId="0" applyNumberFormat="1" applyFont="1" applyBorder="1" applyAlignment="1">
      <alignment horizontal="right" wrapText="1"/>
    </xf>
    <xf numFmtId="166" fontId="28" fillId="0" borderId="0" xfId="0" applyNumberFormat="1" applyFont="1" applyAlignment="1"/>
    <xf numFmtId="166" fontId="23" fillId="0" borderId="0" xfId="0" applyNumberFormat="1" applyFont="1" applyAlignment="1">
      <alignment vertical="center"/>
    </xf>
    <xf numFmtId="166" fontId="23" fillId="0" borderId="0" xfId="0" applyNumberFormat="1" applyFont="1" applyAlignment="1">
      <alignment horizontal="center"/>
    </xf>
    <xf numFmtId="166" fontId="23" fillId="0" borderId="17" xfId="0" applyNumberFormat="1" applyFont="1" applyBorder="1" applyAlignment="1"/>
    <xf numFmtId="166" fontId="23" fillId="0" borderId="11" xfId="0" applyNumberFormat="1" applyFont="1" applyBorder="1" applyAlignment="1"/>
    <xf numFmtId="166" fontId="23" fillId="0" borderId="0" xfId="0" applyNumberFormat="1" applyFont="1" applyBorder="1" applyAlignment="1"/>
    <xf numFmtId="166" fontId="31" fillId="0" borderId="0" xfId="0" applyNumberFormat="1" applyFont="1" applyBorder="1" applyAlignment="1"/>
    <xf numFmtId="166" fontId="23" fillId="0" borderId="13" xfId="0" applyNumberFormat="1" applyFont="1" applyBorder="1" applyAlignment="1"/>
    <xf numFmtId="166" fontId="23" fillId="0" borderId="14" xfId="0" applyNumberFormat="1" applyFont="1" applyBorder="1" applyAlignment="1"/>
    <xf numFmtId="166" fontId="23" fillId="0" borderId="16" xfId="0" quotePrefix="1" applyNumberFormat="1" applyFont="1" applyBorder="1" applyAlignment="1"/>
    <xf numFmtId="166" fontId="23" fillId="0" borderId="11" xfId="0" quotePrefix="1" applyNumberFormat="1" applyFont="1" applyBorder="1" applyAlignment="1"/>
    <xf numFmtId="166" fontId="29" fillId="0" borderId="0" xfId="0" applyNumberFormat="1" applyFont="1" applyBorder="1" applyAlignment="1">
      <alignment vertical="center"/>
    </xf>
    <xf numFmtId="166" fontId="23" fillId="0" borderId="11" xfId="0" applyNumberFormat="1" applyFont="1" applyBorder="1" applyAlignment="1">
      <alignment vertical="center"/>
    </xf>
    <xf numFmtId="166" fontId="23" fillId="0" borderId="0" xfId="0" applyNumberFormat="1" applyFont="1" applyBorder="1" applyAlignment="1">
      <alignment vertical="center"/>
    </xf>
    <xf numFmtId="166" fontId="23" fillId="0" borderId="11" xfId="0" applyNumberFormat="1" applyFont="1" applyBorder="1" applyAlignment="1">
      <alignment horizontal="center"/>
    </xf>
    <xf numFmtId="166" fontId="23" fillId="0" borderId="0" xfId="0" applyNumberFormat="1" applyFont="1" applyBorder="1" applyAlignment="1">
      <alignment horizontal="left"/>
    </xf>
    <xf numFmtId="166" fontId="23" fillId="0" borderId="0" xfId="0" applyNumberFormat="1" applyFont="1" applyBorder="1" applyAlignment="1">
      <alignment horizontal="center"/>
    </xf>
    <xf numFmtId="166" fontId="24" fillId="0" borderId="17" xfId="0" applyNumberFormat="1" applyFont="1" applyBorder="1" applyAlignment="1"/>
    <xf numFmtId="166" fontId="24" fillId="0" borderId="0" xfId="0" applyNumberFormat="1" applyFont="1" applyBorder="1" applyAlignment="1"/>
    <xf numFmtId="166" fontId="24" fillId="0" borderId="14" xfId="0" applyNumberFormat="1" applyFont="1" applyBorder="1" applyAlignment="1"/>
    <xf numFmtId="166" fontId="24" fillId="0" borderId="11" xfId="0" quotePrefix="1" applyNumberFormat="1" applyFont="1" applyBorder="1" applyAlignment="1"/>
    <xf numFmtId="166" fontId="28" fillId="0" borderId="10" xfId="0" applyNumberFormat="1" applyFont="1" applyBorder="1" applyAlignment="1">
      <alignment horizontal="right" wrapText="1"/>
    </xf>
    <xf numFmtId="166" fontId="28" fillId="0" borderId="18" xfId="0" applyNumberFormat="1" applyFont="1" applyBorder="1" applyAlignment="1"/>
    <xf numFmtId="166" fontId="28" fillId="0" borderId="12" xfId="0" applyNumberFormat="1" applyFont="1" applyBorder="1" applyAlignment="1"/>
    <xf numFmtId="166" fontId="48" fillId="0" borderId="12" xfId="0" applyNumberFormat="1" applyFont="1" applyBorder="1" applyAlignment="1">
      <alignment vertical="center"/>
    </xf>
    <xf numFmtId="166" fontId="47" fillId="0" borderId="12" xfId="0" applyNumberFormat="1" applyFont="1" applyBorder="1" applyAlignment="1"/>
    <xf numFmtId="166" fontId="28" fillId="0" borderId="15" xfId="0" applyNumberFormat="1" applyFont="1" applyBorder="1" applyAlignment="1"/>
    <xf numFmtId="166" fontId="48" fillId="0" borderId="12" xfId="0" applyNumberFormat="1" applyFont="1" applyBorder="1" applyAlignment="1"/>
    <xf numFmtId="166" fontId="23" fillId="0" borderId="11" xfId="0" quotePrefix="1" applyNumberFormat="1" applyFont="1" applyBorder="1" applyAlignment="1">
      <alignment vertical="center"/>
    </xf>
    <xf numFmtId="166" fontId="24" fillId="0" borderId="0" xfId="0" applyNumberFormat="1" applyFont="1" applyBorder="1" applyAlignment="1">
      <alignment vertical="center"/>
    </xf>
    <xf numFmtId="166" fontId="28" fillId="0" borderId="12" xfId="0" applyNumberFormat="1" applyFont="1" applyBorder="1" applyAlignment="1">
      <alignment vertical="center"/>
    </xf>
    <xf numFmtId="166" fontId="41" fillId="0" borderId="16" xfId="0" applyNumberFormat="1" applyFont="1" applyBorder="1" applyAlignment="1"/>
    <xf numFmtId="166" fontId="28" fillId="15" borderId="12" xfId="0" applyNumberFormat="1" applyFont="1" applyFill="1" applyBorder="1" applyAlignment="1"/>
    <xf numFmtId="44" fontId="36" fillId="0" borderId="0" xfId="46" applyNumberFormat="1" applyFont="1" applyBorder="1"/>
    <xf numFmtId="44" fontId="49" fillId="0" borderId="22" xfId="46" applyNumberFormat="1" applyFont="1" applyFill="1" applyBorder="1" applyAlignment="1">
      <alignment horizontal="center"/>
    </xf>
    <xf numFmtId="44" fontId="28" fillId="0" borderId="11" xfId="46" applyNumberFormat="1" applyFont="1" applyFill="1" applyBorder="1" applyAlignment="1">
      <alignment horizontal="centerContinuous"/>
    </xf>
    <xf numFmtId="44" fontId="28" fillId="0" borderId="0" xfId="46" applyNumberFormat="1" applyFont="1" applyFill="1" applyBorder="1" applyAlignment="1">
      <alignment horizontal="centerContinuous"/>
    </xf>
    <xf numFmtId="167" fontId="28" fillId="0" borderId="0" xfId="46" applyNumberFormat="1" applyFont="1" applyFill="1" applyBorder="1" applyAlignment="1">
      <alignment horizontal="centerContinuous"/>
    </xf>
    <xf numFmtId="167" fontId="28" fillId="0" borderId="12" xfId="46" applyNumberFormat="1" applyFont="1" applyFill="1" applyBorder="1" applyAlignment="1">
      <alignment horizontal="centerContinuous"/>
    </xf>
    <xf numFmtId="167" fontId="49" fillId="0" borderId="24" xfId="46" applyNumberFormat="1" applyFont="1" applyFill="1" applyBorder="1" applyAlignment="1">
      <alignment horizontal="center"/>
    </xf>
    <xf numFmtId="44" fontId="49" fillId="0" borderId="24" xfId="46" applyNumberFormat="1" applyFont="1" applyFill="1" applyBorder="1" applyAlignment="1">
      <alignment horizontal="center"/>
    </xf>
    <xf numFmtId="44" fontId="50" fillId="0" borderId="0" xfId="46" applyNumberFormat="1" applyFont="1" applyBorder="1"/>
    <xf numFmtId="44" fontId="1" fillId="0" borderId="0" xfId="46" applyNumberFormat="1" applyBorder="1"/>
    <xf numFmtId="44" fontId="23" fillId="0" borderId="0" xfId="46" applyNumberFormat="1" applyFont="1" applyFill="1" applyBorder="1" applyAlignment="1">
      <alignment horizontal="center"/>
    </xf>
    <xf numFmtId="44" fontId="23" fillId="0" borderId="12" xfId="46" applyNumberFormat="1" applyFont="1" applyFill="1" applyBorder="1" applyAlignment="1">
      <alignment horizontal="center"/>
    </xf>
    <xf numFmtId="44" fontId="23" fillId="0" borderId="11" xfId="46" applyNumberFormat="1" applyFont="1" applyBorder="1"/>
    <xf numFmtId="44" fontId="23" fillId="0" borderId="0" xfId="46" applyNumberFormat="1" applyFont="1" applyBorder="1"/>
    <xf numFmtId="167" fontId="48" fillId="0" borderId="0" xfId="46" applyNumberFormat="1" applyFont="1" applyBorder="1" applyAlignment="1">
      <alignment horizontal="centerContinuous"/>
    </xf>
    <xf numFmtId="167" fontId="29" fillId="0" borderId="12" xfId="46" applyNumberFormat="1" applyFont="1" applyBorder="1" applyAlignment="1">
      <alignment horizontal="centerContinuous"/>
    </xf>
    <xf numFmtId="167" fontId="49" fillId="0" borderId="24" xfId="46" applyNumberFormat="1" applyFont="1" applyBorder="1" applyAlignment="1">
      <alignment horizontal="center"/>
    </xf>
    <xf numFmtId="171" fontId="48" fillId="0" borderId="0" xfId="46" applyNumberFormat="1" applyFont="1" applyBorder="1" applyAlignment="1">
      <alignment horizontal="right"/>
    </xf>
    <xf numFmtId="171" fontId="48" fillId="0" borderId="12" xfId="46" applyNumberFormat="1" applyFont="1" applyBorder="1" applyAlignment="1">
      <alignment horizontal="right"/>
    </xf>
    <xf numFmtId="44" fontId="51" fillId="0" borderId="24" xfId="46" applyNumberFormat="1" applyFont="1" applyFill="1" applyBorder="1" applyAlignment="1">
      <alignment horizontal="center"/>
    </xf>
    <xf numFmtId="167" fontId="23" fillId="0" borderId="0" xfId="46" applyNumberFormat="1" applyFont="1" applyBorder="1"/>
    <xf numFmtId="167" fontId="23" fillId="0" borderId="12" xfId="46" applyNumberFormat="1" applyFont="1" applyBorder="1"/>
    <xf numFmtId="168" fontId="23" fillId="0" borderId="0" xfId="46" applyNumberFormat="1" applyFont="1" applyBorder="1"/>
    <xf numFmtId="44" fontId="23" fillId="16" borderId="0" xfId="46" applyNumberFormat="1" applyFont="1" applyFill="1" applyBorder="1"/>
    <xf numFmtId="43" fontId="23" fillId="0" borderId="0" xfId="46" applyNumberFormat="1" applyFont="1" applyBorder="1"/>
    <xf numFmtId="44" fontId="52" fillId="0" borderId="23" xfId="46" applyNumberFormat="1" applyFont="1" applyFill="1" applyBorder="1" applyAlignment="1">
      <alignment horizontal="center"/>
    </xf>
    <xf numFmtId="44" fontId="28" fillId="0" borderId="16" xfId="46" applyNumberFormat="1" applyFont="1" applyBorder="1" applyAlignment="1">
      <alignment horizontal="centerContinuous"/>
    </xf>
    <xf numFmtId="44" fontId="28" fillId="0" borderId="17" xfId="46" applyNumberFormat="1" applyFont="1" applyBorder="1" applyAlignment="1">
      <alignment horizontal="centerContinuous"/>
    </xf>
    <xf numFmtId="167" fontId="28" fillId="0" borderId="17" xfId="46" applyNumberFormat="1" applyFont="1" applyBorder="1" applyAlignment="1">
      <alignment horizontal="centerContinuous"/>
    </xf>
    <xf numFmtId="167" fontId="28" fillId="0" borderId="18" xfId="46" applyNumberFormat="1" applyFont="1" applyBorder="1" applyAlignment="1">
      <alignment horizontal="centerContinuous"/>
    </xf>
    <xf numFmtId="44" fontId="28" fillId="0" borderId="11" xfId="46" applyNumberFormat="1" applyFont="1" applyBorder="1" applyAlignment="1">
      <alignment horizontal="centerContinuous"/>
    </xf>
    <xf numFmtId="44" fontId="28" fillId="0" borderId="0" xfId="46" applyNumberFormat="1" applyFont="1" applyBorder="1" applyAlignment="1">
      <alignment horizontal="centerContinuous"/>
    </xf>
    <xf numFmtId="167" fontId="28" fillId="0" borderId="0" xfId="46" applyNumberFormat="1" applyFont="1" applyBorder="1" applyAlignment="1">
      <alignment horizontal="centerContinuous"/>
    </xf>
    <xf numFmtId="167" fontId="28" fillId="0" borderId="12" xfId="46" applyNumberFormat="1" applyFont="1" applyBorder="1" applyAlignment="1">
      <alignment horizontal="centerContinuous"/>
    </xf>
    <xf numFmtId="44" fontId="23" fillId="0" borderId="11" xfId="46" applyNumberFormat="1" applyFont="1" applyBorder="1" applyAlignment="1">
      <alignment horizontal="centerContinuous"/>
    </xf>
    <xf numFmtId="44" fontId="23" fillId="0" borderId="0" xfId="46" applyNumberFormat="1" applyFont="1" applyBorder="1" applyAlignment="1">
      <alignment horizontal="centerContinuous"/>
    </xf>
    <xf numFmtId="167" fontId="23" fillId="0" borderId="0" xfId="46" applyNumberFormat="1" applyFont="1" applyBorder="1" applyAlignment="1">
      <alignment horizontal="centerContinuous"/>
    </xf>
    <xf numFmtId="167" fontId="23" fillId="0" borderId="12" xfId="46" applyNumberFormat="1" applyFont="1" applyBorder="1" applyAlignment="1">
      <alignment horizontal="centerContinuous"/>
    </xf>
    <xf numFmtId="44" fontId="28" fillId="0" borderId="11" xfId="46" applyNumberFormat="1" applyFont="1" applyBorder="1"/>
    <xf numFmtId="44" fontId="28" fillId="0" borderId="0" xfId="46" applyNumberFormat="1" applyFont="1" applyBorder="1"/>
    <xf numFmtId="44" fontId="29" fillId="0" borderId="0" xfId="46" applyNumberFormat="1" applyFont="1" applyBorder="1"/>
    <xf numFmtId="44" fontId="29" fillId="16" borderId="0" xfId="46" applyNumberFormat="1" applyFont="1" applyFill="1" applyBorder="1"/>
    <xf numFmtId="44" fontId="23" fillId="0" borderId="11" xfId="46" applyNumberFormat="1" applyFont="1" applyBorder="1" applyAlignment="1">
      <alignment vertical="top"/>
    </xf>
    <xf numFmtId="44" fontId="23" fillId="0" borderId="0" xfId="46" applyNumberFormat="1" applyFont="1" applyBorder="1" applyAlignment="1">
      <alignment vertical="top"/>
    </xf>
    <xf numFmtId="167" fontId="23" fillId="0" borderId="0" xfId="46" applyNumberFormat="1" applyFont="1" applyBorder="1" applyAlignment="1">
      <alignment vertical="top"/>
    </xf>
    <xf numFmtId="167" fontId="23" fillId="0" borderId="12" xfId="46" applyNumberFormat="1" applyFont="1" applyBorder="1" applyAlignment="1">
      <alignment vertical="top"/>
    </xf>
    <xf numFmtId="167" fontId="49" fillId="0" borderId="24" xfId="46" applyNumberFormat="1" applyFont="1" applyBorder="1" applyAlignment="1">
      <alignment horizontal="center" vertical="top"/>
    </xf>
    <xf numFmtId="44" fontId="1" fillId="0" borderId="0" xfId="46" applyNumberFormat="1" applyBorder="1" applyAlignment="1">
      <alignment vertical="top"/>
    </xf>
    <xf numFmtId="44" fontId="24" fillId="0" borderId="13" xfId="46" applyNumberFormat="1" applyFont="1" applyBorder="1"/>
    <xf numFmtId="44" fontId="23" fillId="0" borderId="14" xfId="46" applyNumberFormat="1" applyFont="1" applyBorder="1"/>
    <xf numFmtId="167" fontId="23" fillId="0" borderId="14" xfId="46" applyNumberFormat="1" applyFont="1" applyBorder="1"/>
    <xf numFmtId="167" fontId="23" fillId="0" borderId="15" xfId="46" applyNumberFormat="1" applyFont="1" applyBorder="1"/>
    <xf numFmtId="167" fontId="49" fillId="0" borderId="23" xfId="46" applyNumberFormat="1" applyFont="1" applyBorder="1" applyAlignment="1">
      <alignment horizontal="center"/>
    </xf>
    <xf numFmtId="167" fontId="49" fillId="0" borderId="22" xfId="46" applyNumberFormat="1" applyFont="1" applyBorder="1" applyAlignment="1">
      <alignment horizontal="center"/>
    </xf>
    <xf numFmtId="44" fontId="23" fillId="0" borderId="0" xfId="46" applyNumberFormat="1" applyFont="1" applyFill="1" applyBorder="1"/>
    <xf numFmtId="44" fontId="29" fillId="0" borderId="0" xfId="46" applyNumberFormat="1" applyFont="1" applyFill="1" applyBorder="1"/>
    <xf numFmtId="167" fontId="23" fillId="17" borderId="0" xfId="46" applyNumberFormat="1" applyFont="1" applyFill="1" applyBorder="1" applyAlignment="1">
      <alignment horizontal="center" vertical="center" wrapText="1"/>
    </xf>
    <xf numFmtId="167" fontId="23" fillId="17" borderId="12" xfId="46" applyNumberFormat="1" applyFont="1" applyFill="1" applyBorder="1" applyAlignment="1">
      <alignment horizontal="center" vertical="center" wrapText="1"/>
    </xf>
    <xf numFmtId="167" fontId="49" fillId="17" borderId="24" xfId="46" applyNumberFormat="1" applyFont="1" applyFill="1" applyBorder="1" applyAlignment="1">
      <alignment horizontal="center" vertical="center" wrapText="1"/>
    </xf>
    <xf numFmtId="172" fontId="23" fillId="0" borderId="0" xfId="46" applyNumberFormat="1" applyFont="1" applyBorder="1"/>
    <xf numFmtId="173" fontId="23" fillId="0" borderId="0" xfId="46" applyNumberFormat="1" applyFont="1" applyBorder="1"/>
    <xf numFmtId="167" fontId="23" fillId="0" borderId="0" xfId="47" applyNumberFormat="1" applyFont="1" applyBorder="1" applyAlignment="1">
      <alignment horizontal="right"/>
    </xf>
    <xf numFmtId="44" fontId="28" fillId="0" borderId="17" xfId="46" applyNumberFormat="1" applyFont="1" applyBorder="1"/>
    <xf numFmtId="171" fontId="48" fillId="0" borderId="17" xfId="46" applyNumberFormat="1" applyFont="1" applyBorder="1"/>
    <xf numFmtId="44" fontId="54" fillId="0" borderId="18" xfId="46" applyNumberFormat="1" applyFont="1" applyBorder="1" applyAlignment="1">
      <alignment horizontal="right"/>
    </xf>
    <xf numFmtId="44" fontId="23" fillId="17" borderId="0" xfId="46" applyNumberFormat="1" applyFont="1" applyFill="1" applyBorder="1"/>
    <xf numFmtId="167" fontId="23" fillId="0" borderId="12" xfId="46" applyNumberFormat="1" applyFont="1" applyBorder="1" applyAlignment="1">
      <alignment horizontal="right"/>
    </xf>
    <xf numFmtId="167" fontId="55" fillId="0" borderId="0" xfId="46" applyNumberFormat="1" applyFont="1" applyBorder="1" applyAlignment="1">
      <alignment horizontal="center"/>
    </xf>
    <xf numFmtId="0" fontId="28" fillId="0" borderId="0" xfId="0" applyFont="1" applyFill="1" applyAlignment="1" applyProtection="1">
      <alignment horizontal="right"/>
    </xf>
    <xf numFmtId="0" fontId="28" fillId="16" borderId="0" xfId="0" applyFont="1" applyFill="1" applyAlignment="1" applyProtection="1">
      <alignment horizontal="right"/>
      <protection locked="0"/>
    </xf>
    <xf numFmtId="170" fontId="28" fillId="16" borderId="0" xfId="0" applyNumberFormat="1" applyFont="1" applyFill="1" applyAlignment="1" applyProtection="1">
      <alignment horizontal="left"/>
      <protection locked="0"/>
    </xf>
    <xf numFmtId="0" fontId="44" fillId="0" borderId="14" xfId="0" applyFont="1" applyFill="1" applyBorder="1" applyAlignment="1" applyProtection="1"/>
    <xf numFmtId="171" fontId="48" fillId="16" borderId="0" xfId="46" applyNumberFormat="1" applyFont="1" applyFill="1" applyBorder="1" applyAlignment="1" applyProtection="1">
      <alignment horizontal="right"/>
      <protection locked="0"/>
    </xf>
    <xf numFmtId="168" fontId="23" fillId="16" borderId="0" xfId="46" applyNumberFormat="1" applyFont="1" applyFill="1" applyBorder="1" applyProtection="1">
      <protection locked="0"/>
    </xf>
    <xf numFmtId="168" fontId="29" fillId="16" borderId="0" xfId="46" applyNumberFormat="1" applyFont="1" applyFill="1" applyBorder="1" applyProtection="1">
      <protection locked="0"/>
    </xf>
    <xf numFmtId="44" fontId="23" fillId="16" borderId="0" xfId="46" applyNumberFormat="1" applyFont="1" applyFill="1" applyBorder="1" applyProtection="1">
      <protection locked="0"/>
    </xf>
    <xf numFmtId="0" fontId="0" fillId="0" borderId="0" xfId="0" applyFont="1" applyFill="1" applyAlignment="1">
      <alignment horizontal="left"/>
    </xf>
    <xf numFmtId="0" fontId="0" fillId="0" borderId="0" xfId="0" applyFont="1" applyFill="1" applyAlignment="1">
      <alignment horizontal="center"/>
    </xf>
    <xf numFmtId="167" fontId="30" fillId="16" borderId="0" xfId="42" applyNumberFormat="1" applyFont="1" applyFill="1" applyBorder="1" applyAlignment="1" applyProtection="1">
      <protection locked="0"/>
    </xf>
    <xf numFmtId="169" fontId="23" fillId="16" borderId="0" xfId="42" applyNumberFormat="1" applyFont="1" applyFill="1" applyBorder="1" applyAlignment="1" applyProtection="1">
      <protection locked="0"/>
    </xf>
    <xf numFmtId="169" fontId="31" fillId="16" borderId="0" xfId="42" applyNumberFormat="1" applyFont="1" applyFill="1" applyBorder="1" applyAlignment="1" applyProtection="1">
      <protection locked="0"/>
    </xf>
    <xf numFmtId="0" fontId="39" fillId="0" borderId="0" xfId="0" applyFont="1" applyFill="1" applyAlignment="1" applyProtection="1"/>
    <xf numFmtId="0" fontId="23" fillId="0" borderId="0" xfId="0" applyFont="1" applyFill="1" applyAlignment="1" applyProtection="1">
      <alignment horizontal="right"/>
    </xf>
    <xf numFmtId="170" fontId="23" fillId="0" borderId="0" xfId="0" applyNumberFormat="1" applyFont="1" applyFill="1" applyAlignment="1" applyProtection="1">
      <alignment horizontal="left"/>
    </xf>
    <xf numFmtId="0" fontId="56" fillId="0" borderId="17" xfId="0" applyFont="1" applyFill="1" applyBorder="1" applyAlignment="1" applyProtection="1">
      <alignment horizontal="centerContinuous"/>
    </xf>
    <xf numFmtId="0" fontId="57" fillId="0" borderId="17" xfId="0" applyFont="1" applyFill="1" applyBorder="1" applyAlignment="1" applyProtection="1">
      <alignment horizontal="centerContinuous"/>
    </xf>
    <xf numFmtId="0" fontId="57" fillId="0" borderId="18" xfId="0" applyFont="1" applyFill="1" applyBorder="1" applyAlignment="1" applyProtection="1">
      <alignment horizontal="centerContinuous"/>
    </xf>
    <xf numFmtId="0" fontId="57" fillId="0" borderId="0" xfId="0" applyFont="1" applyFill="1" applyAlignment="1" applyProtection="1"/>
    <xf numFmtId="0" fontId="24" fillId="0" borderId="11" xfId="0" applyFont="1" applyFill="1" applyBorder="1" applyAlignment="1" applyProtection="1">
      <alignment horizontal="centerContinuous"/>
    </xf>
    <xf numFmtId="0" fontId="23" fillId="0" borderId="0" xfId="0" applyFont="1" applyFill="1" applyBorder="1" applyAlignment="1" applyProtection="1">
      <alignment horizontal="centerContinuous"/>
    </xf>
    <xf numFmtId="0" fontId="44" fillId="0" borderId="0" xfId="0" applyFont="1" applyFill="1" applyBorder="1" applyAlignment="1" applyProtection="1">
      <alignment horizontal="centerContinuous"/>
    </xf>
    <xf numFmtId="0" fontId="44" fillId="0" borderId="12" xfId="0" applyFont="1" applyFill="1" applyBorder="1" applyAlignment="1" applyProtection="1">
      <alignment horizontal="centerContinuous"/>
    </xf>
    <xf numFmtId="0" fontId="28" fillId="0" borderId="19" xfId="0" applyFont="1" applyBorder="1" applyProtection="1">
      <alignment wrapText="1"/>
    </xf>
    <xf numFmtId="0" fontId="28" fillId="0" borderId="20" xfId="0" applyFont="1" applyBorder="1" applyProtection="1">
      <alignment wrapText="1"/>
    </xf>
    <xf numFmtId="0" fontId="28" fillId="0" borderId="21" xfId="0" applyFont="1" applyBorder="1" applyAlignment="1" applyProtection="1">
      <alignment horizontal="right" wrapText="1"/>
    </xf>
    <xf numFmtId="0" fontId="28" fillId="0" borderId="10" xfId="0" applyFont="1" applyBorder="1" applyProtection="1">
      <alignment wrapText="1"/>
    </xf>
    <xf numFmtId="0" fontId="28" fillId="0" borderId="10" xfId="0" applyFont="1" applyBorder="1" applyAlignment="1" applyProtection="1">
      <alignment horizontal="right" wrapText="1"/>
    </xf>
    <xf numFmtId="0" fontId="28" fillId="0" borderId="0" xfId="0" applyFont="1" applyProtection="1">
      <alignment wrapText="1"/>
    </xf>
    <xf numFmtId="170" fontId="28" fillId="0" borderId="16" xfId="0" applyNumberFormat="1" applyFont="1" applyBorder="1" applyAlignment="1" applyProtection="1"/>
    <xf numFmtId="170" fontId="23" fillId="0" borderId="17" xfId="0" applyNumberFormat="1" applyFont="1" applyBorder="1" applyProtection="1">
      <alignment wrapText="1"/>
    </xf>
    <xf numFmtId="170" fontId="23" fillId="0" borderId="17" xfId="0" applyNumberFormat="1" applyFont="1" applyBorder="1" applyAlignment="1" applyProtection="1">
      <alignment horizontal="right" wrapText="1"/>
    </xf>
    <xf numFmtId="170" fontId="23" fillId="0" borderId="18" xfId="0" applyNumberFormat="1" applyFont="1" applyBorder="1" applyAlignment="1" applyProtection="1">
      <alignment horizontal="right" wrapText="1"/>
    </xf>
    <xf numFmtId="170" fontId="23" fillId="0" borderId="0" xfId="0" applyNumberFormat="1" applyFont="1" applyProtection="1">
      <alignment wrapText="1"/>
    </xf>
    <xf numFmtId="170" fontId="28" fillId="0" borderId="11" xfId="0" applyNumberFormat="1" applyFont="1" applyBorder="1" applyAlignment="1" applyProtection="1"/>
    <xf numFmtId="170" fontId="23" fillId="0" borderId="0" xfId="0" applyNumberFormat="1" applyFont="1" applyBorder="1" applyAlignment="1" applyProtection="1"/>
    <xf numFmtId="170" fontId="23" fillId="0" borderId="0" xfId="0" applyNumberFormat="1" applyFont="1" applyBorder="1" applyProtection="1">
      <alignment wrapText="1"/>
    </xf>
    <xf numFmtId="170" fontId="23" fillId="0" borderId="12" xfId="0" applyNumberFormat="1" applyFont="1" applyBorder="1" applyProtection="1">
      <alignment wrapText="1"/>
    </xf>
    <xf numFmtId="170" fontId="23" fillId="0" borderId="11" xfId="0" applyNumberFormat="1" applyFont="1" applyBorder="1" applyAlignment="1" applyProtection="1"/>
    <xf numFmtId="170" fontId="23" fillId="0" borderId="11" xfId="0" applyNumberFormat="1" applyFont="1" applyBorder="1" applyAlignment="1" applyProtection="1">
      <alignment vertical="center"/>
    </xf>
    <xf numFmtId="170" fontId="23" fillId="0" borderId="0" xfId="0" applyNumberFormat="1" applyFont="1" applyBorder="1" applyAlignment="1" applyProtection="1">
      <alignment vertical="center"/>
    </xf>
    <xf numFmtId="170" fontId="23" fillId="0" borderId="0" xfId="0" applyNumberFormat="1" applyFont="1" applyBorder="1" applyAlignment="1" applyProtection="1">
      <alignment vertical="center" wrapText="1"/>
    </xf>
    <xf numFmtId="170" fontId="29" fillId="0" borderId="12" xfId="0" applyNumberFormat="1" applyFont="1" applyBorder="1" applyAlignment="1" applyProtection="1">
      <alignment vertical="center" wrapText="1"/>
    </xf>
    <xf numFmtId="170" fontId="23" fillId="0" borderId="0" xfId="0" applyNumberFormat="1" applyFont="1" applyAlignment="1" applyProtection="1">
      <alignment vertical="center" wrapText="1"/>
    </xf>
    <xf numFmtId="170" fontId="23" fillId="0" borderId="0" xfId="0" applyNumberFormat="1" applyFont="1" applyFill="1" applyBorder="1" applyAlignment="1" applyProtection="1"/>
    <xf numFmtId="170" fontId="23" fillId="0" borderId="0" xfId="0" applyNumberFormat="1" applyFont="1" applyFill="1" applyBorder="1" applyProtection="1">
      <alignment wrapText="1"/>
    </xf>
    <xf numFmtId="170" fontId="23" fillId="0" borderId="12" xfId="0" applyNumberFormat="1" applyFont="1" applyFill="1" applyBorder="1" applyProtection="1">
      <alignment wrapText="1"/>
    </xf>
    <xf numFmtId="170" fontId="23" fillId="0" borderId="0" xfId="0" applyNumberFormat="1" applyFont="1" applyFill="1" applyProtection="1">
      <alignment wrapText="1"/>
    </xf>
    <xf numFmtId="170" fontId="28" fillId="0" borderId="11" xfId="0" applyNumberFormat="1" applyFont="1" applyFill="1" applyBorder="1" applyAlignment="1" applyProtection="1"/>
    <xf numFmtId="170" fontId="23" fillId="0" borderId="13" xfId="0" applyNumberFormat="1" applyFont="1" applyFill="1" applyBorder="1" applyProtection="1">
      <alignment wrapText="1"/>
    </xf>
    <xf numFmtId="170" fontId="23" fillId="0" borderId="14" xfId="0" applyNumberFormat="1" applyFont="1" applyFill="1" applyBorder="1" applyProtection="1">
      <alignment wrapText="1"/>
    </xf>
    <xf numFmtId="0" fontId="28" fillId="0" borderId="0" xfId="0" applyFont="1" applyAlignment="1" applyProtection="1"/>
    <xf numFmtId="0" fontId="23" fillId="0" borderId="0" xfId="0" applyFont="1" applyAlignment="1" applyProtection="1"/>
    <xf numFmtId="176" fontId="23" fillId="0" borderId="0" xfId="0" applyNumberFormat="1" applyFont="1" applyAlignment="1" applyProtection="1"/>
    <xf numFmtId="0" fontId="23" fillId="0" borderId="11" xfId="0" applyFont="1" applyBorder="1" applyAlignment="1" applyProtection="1"/>
    <xf numFmtId="0" fontId="23" fillId="0" borderId="0" xfId="0" applyFont="1" applyBorder="1" applyAlignment="1" applyProtection="1"/>
    <xf numFmtId="170" fontId="23" fillId="0" borderId="0" xfId="0" applyNumberFormat="1" applyFont="1" applyAlignment="1" applyProtection="1"/>
    <xf numFmtId="0" fontId="23" fillId="0" borderId="0" xfId="0" applyFont="1" applyProtection="1">
      <alignment wrapText="1"/>
    </xf>
    <xf numFmtId="44" fontId="56" fillId="0" borderId="16" xfId="0" applyNumberFormat="1" applyFont="1" applyFill="1" applyBorder="1" applyAlignment="1" applyProtection="1">
      <alignment horizontal="centerContinuous"/>
    </xf>
    <xf numFmtId="0" fontId="28" fillId="0" borderId="10" xfId="0" applyFont="1" applyFill="1" applyBorder="1" applyProtection="1">
      <alignment wrapText="1"/>
    </xf>
    <xf numFmtId="170" fontId="23" fillId="0" borderId="16" xfId="0" applyNumberFormat="1" applyFont="1" applyFill="1" applyBorder="1" applyProtection="1">
      <alignment wrapText="1"/>
    </xf>
    <xf numFmtId="170" fontId="23" fillId="0" borderId="11" xfId="0" applyNumberFormat="1" applyFont="1" applyFill="1" applyBorder="1" applyProtection="1">
      <alignment wrapText="1"/>
      <protection locked="0"/>
    </xf>
    <xf numFmtId="170" fontId="29" fillId="0" borderId="11" xfId="0" applyNumberFormat="1" applyFont="1" applyFill="1" applyBorder="1" applyAlignment="1" applyProtection="1">
      <alignment vertical="center" wrapText="1"/>
      <protection locked="0"/>
    </xf>
    <xf numFmtId="170" fontId="29" fillId="0" borderId="11" xfId="0" applyNumberFormat="1" applyFont="1" applyFill="1" applyBorder="1" applyProtection="1">
      <alignment wrapText="1"/>
      <protection locked="0"/>
    </xf>
    <xf numFmtId="170" fontId="23" fillId="0" borderId="0" xfId="0" applyNumberFormat="1" applyFont="1" applyFill="1" applyBorder="1" applyProtection="1">
      <alignment wrapText="1"/>
      <protection locked="0"/>
    </xf>
    <xf numFmtId="10" fontId="23" fillId="0" borderId="0" xfId="0" applyNumberFormat="1" applyFont="1" applyBorder="1" applyProtection="1">
      <alignment wrapText="1"/>
    </xf>
    <xf numFmtId="44" fontId="23" fillId="0" borderId="12" xfId="46" applyNumberFormat="1" applyFont="1" applyBorder="1"/>
    <xf numFmtId="167" fontId="23" fillId="0" borderId="11" xfId="0" applyNumberFormat="1" applyFont="1" applyFill="1" applyBorder="1" applyProtection="1">
      <alignment wrapText="1"/>
      <protection locked="0"/>
    </xf>
    <xf numFmtId="167" fontId="23" fillId="0" borderId="0" xfId="0" applyNumberFormat="1" applyFont="1" applyFill="1" applyBorder="1" applyProtection="1">
      <alignment wrapText="1"/>
      <protection locked="0"/>
    </xf>
    <xf numFmtId="167" fontId="23" fillId="0" borderId="12" xfId="0" applyNumberFormat="1" applyFont="1" applyFill="1" applyBorder="1" applyProtection="1">
      <alignment wrapText="1"/>
    </xf>
    <xf numFmtId="167" fontId="30" fillId="0" borderId="0" xfId="42" applyNumberFormat="1" applyFont="1" applyFill="1" applyBorder="1" applyAlignment="1" applyProtection="1">
      <protection locked="0"/>
    </xf>
    <xf numFmtId="41" fontId="23" fillId="16" borderId="11" xfId="42" applyNumberFormat="1" applyFont="1" applyFill="1" applyBorder="1" applyAlignment="1" applyProtection="1">
      <protection locked="0"/>
    </xf>
    <xf numFmtId="41" fontId="23" fillId="16" borderId="0" xfId="42" applyNumberFormat="1" applyFont="1" applyFill="1" applyBorder="1" applyAlignment="1" applyProtection="1">
      <protection locked="0"/>
    </xf>
    <xf numFmtId="0" fontId="1" fillId="0" borderId="0" xfId="43" applyFont="1"/>
    <xf numFmtId="169" fontId="23" fillId="0" borderId="0" xfId="42" applyNumberFormat="1" applyFont="1" applyFill="1" applyBorder="1" applyAlignment="1" applyProtection="1">
      <protection locked="0"/>
    </xf>
    <xf numFmtId="0" fontId="59" fillId="0" borderId="0" xfId="0" applyFont="1" applyFill="1" applyAlignment="1"/>
    <xf numFmtId="0" fontId="60" fillId="0" borderId="0" xfId="0" applyFont="1" applyFill="1" applyAlignment="1"/>
    <xf numFmtId="41" fontId="28" fillId="0" borderId="0" xfId="42" applyNumberFormat="1" applyFont="1" applyFill="1" applyBorder="1" applyAlignment="1"/>
    <xf numFmtId="41" fontId="28" fillId="0" borderId="0" xfId="42" applyNumberFormat="1" applyFont="1" applyFill="1" applyBorder="1" applyAlignment="1">
      <alignment horizontal="left"/>
    </xf>
    <xf numFmtId="0" fontId="5" fillId="0" borderId="0" xfId="43" applyBorder="1"/>
    <xf numFmtId="166" fontId="34" fillId="0" borderId="0" xfId="42" applyNumberFormat="1" applyFont="1" applyFill="1" applyBorder="1" applyAlignment="1">
      <alignment horizontal="right"/>
    </xf>
    <xf numFmtId="167" fontId="28" fillId="0" borderId="0" xfId="42" applyNumberFormat="1" applyFont="1" applyFill="1" applyBorder="1" applyAlignment="1">
      <alignment horizontal="center"/>
    </xf>
    <xf numFmtId="167" fontId="34" fillId="0" borderId="0" xfId="42" applyNumberFormat="1" applyFont="1" applyFill="1" applyBorder="1" applyAlignment="1"/>
    <xf numFmtId="41" fontId="23" fillId="0" borderId="16" xfId="42" applyNumberFormat="1" applyFont="1" applyBorder="1" applyAlignment="1"/>
    <xf numFmtId="41" fontId="23" fillId="0" borderId="17" xfId="42" applyNumberFormat="1" applyFont="1" applyBorder="1" applyAlignment="1"/>
    <xf numFmtId="168" fontId="23" fillId="16" borderId="17" xfId="44" applyNumberFormat="1" applyFont="1" applyFill="1" applyBorder="1" applyAlignment="1" applyProtection="1">
      <protection locked="0"/>
    </xf>
    <xf numFmtId="167" fontId="30" fillId="16" borderId="17" xfId="42" applyNumberFormat="1" applyFont="1" applyFill="1" applyBorder="1" applyAlignment="1" applyProtection="1">
      <protection locked="0"/>
    </xf>
    <xf numFmtId="167" fontId="23" fillId="16" borderId="17" xfId="42" applyNumberFormat="1" applyFont="1" applyFill="1" applyBorder="1" applyAlignment="1" applyProtection="1">
      <protection locked="0"/>
    </xf>
    <xf numFmtId="167" fontId="23" fillId="0" borderId="17" xfId="42" applyNumberFormat="1" applyFont="1" applyBorder="1" applyAlignment="1"/>
    <xf numFmtId="167" fontId="30" fillId="0" borderId="17" xfId="42" applyNumberFormat="1" applyFont="1" applyBorder="1" applyAlignment="1"/>
    <xf numFmtId="168" fontId="23" fillId="0" borderId="18" xfId="44" applyNumberFormat="1" applyFont="1" applyBorder="1" applyAlignment="1"/>
    <xf numFmtId="169" fontId="23" fillId="0" borderId="12" xfId="42" applyNumberFormat="1" applyFont="1" applyBorder="1" applyAlignment="1"/>
    <xf numFmtId="169" fontId="31" fillId="0" borderId="12" xfId="42" applyNumberFormat="1" applyFont="1" applyBorder="1" applyAlignment="1"/>
    <xf numFmtId="168" fontId="33" fillId="0" borderId="12" xfId="44" applyNumberFormat="1" applyFont="1" applyFill="1" applyBorder="1" applyAlignment="1"/>
    <xf numFmtId="166" fontId="35" fillId="0" borderId="12" xfId="44" applyNumberFormat="1" applyFont="1" applyFill="1" applyBorder="1" applyAlignment="1"/>
    <xf numFmtId="167" fontId="30" fillId="0" borderId="18" xfId="42" applyNumberFormat="1" applyFont="1" applyBorder="1" applyAlignment="1"/>
    <xf numFmtId="41" fontId="23" fillId="0" borderId="12" xfId="42" applyNumberFormat="1" applyFont="1" applyBorder="1" applyAlignment="1">
      <alignment horizontal="right" wrapText="1"/>
    </xf>
    <xf numFmtId="41" fontId="28" fillId="0" borderId="16" xfId="42" applyNumberFormat="1" applyFont="1" applyFill="1" applyBorder="1" applyAlignment="1" applyProtection="1"/>
    <xf numFmtId="41" fontId="28" fillId="0" borderId="17" xfId="42" applyNumberFormat="1" applyFont="1" applyFill="1" applyBorder="1" applyAlignment="1" applyProtection="1"/>
    <xf numFmtId="166" fontId="33" fillId="0" borderId="17" xfId="44" applyNumberFormat="1" applyFont="1" applyFill="1" applyBorder="1" applyAlignment="1" applyProtection="1"/>
    <xf numFmtId="41" fontId="28" fillId="0" borderId="17" xfId="42" applyNumberFormat="1" applyFont="1" applyFill="1" applyBorder="1" applyAlignment="1" applyProtection="1">
      <alignment horizontal="left"/>
    </xf>
    <xf numFmtId="0" fontId="5" fillId="0" borderId="17" xfId="43" applyBorder="1" applyProtection="1"/>
    <xf numFmtId="166" fontId="34" fillId="0" borderId="17" xfId="42" applyNumberFormat="1" applyFont="1" applyFill="1" applyBorder="1" applyAlignment="1" applyProtection="1">
      <alignment horizontal="right"/>
    </xf>
    <xf numFmtId="167" fontId="28" fillId="0" borderId="17" xfId="42" applyNumberFormat="1" applyFont="1" applyFill="1" applyBorder="1" applyAlignment="1" applyProtection="1">
      <alignment horizontal="center"/>
    </xf>
    <xf numFmtId="167" fontId="34" fillId="0" borderId="18" xfId="42" applyNumberFormat="1" applyFont="1" applyFill="1" applyBorder="1" applyAlignment="1" applyProtection="1"/>
    <xf numFmtId="41" fontId="28" fillId="0" borderId="11" xfId="42" applyNumberFormat="1" applyFont="1" applyFill="1" applyBorder="1" applyAlignment="1" applyProtection="1"/>
    <xf numFmtId="41" fontId="28" fillId="0" borderId="0" xfId="42" applyNumberFormat="1" applyFont="1" applyFill="1" applyBorder="1" applyAlignment="1" applyProtection="1"/>
    <xf numFmtId="166" fontId="48" fillId="0" borderId="0" xfId="44" applyNumberFormat="1" applyFont="1" applyFill="1" applyBorder="1" applyAlignment="1" applyProtection="1">
      <alignment horizontal="right"/>
    </xf>
    <xf numFmtId="41" fontId="48" fillId="0" borderId="0" xfId="42" applyNumberFormat="1" applyFont="1" applyFill="1" applyBorder="1" applyAlignment="1" applyProtection="1">
      <alignment horizontal="right"/>
    </xf>
    <xf numFmtId="0" fontId="5" fillId="0" borderId="0" xfId="43" applyBorder="1" applyProtection="1"/>
    <xf numFmtId="166" fontId="34" fillId="0" borderId="0" xfId="42" applyNumberFormat="1" applyFont="1" applyFill="1" applyBorder="1" applyAlignment="1" applyProtection="1">
      <alignment horizontal="right"/>
    </xf>
    <xf numFmtId="167" fontId="28" fillId="0" borderId="0" xfId="42" applyNumberFormat="1" applyFont="1" applyFill="1" applyBorder="1" applyAlignment="1" applyProtection="1">
      <alignment horizontal="center"/>
    </xf>
    <xf numFmtId="167" fontId="34" fillId="0" borderId="0" xfId="42" applyNumberFormat="1" applyFont="1" applyFill="1" applyBorder="1" applyAlignment="1" applyProtection="1"/>
    <xf numFmtId="167" fontId="34" fillId="0" borderId="12" xfId="42" applyNumberFormat="1" applyFont="1" applyFill="1" applyBorder="1" applyAlignment="1" applyProtection="1"/>
    <xf numFmtId="41" fontId="23" fillId="0" borderId="11" xfId="42" applyNumberFormat="1" applyFont="1" applyFill="1" applyBorder="1" applyAlignment="1" applyProtection="1"/>
    <xf numFmtId="41" fontId="23" fillId="0" borderId="0" xfId="42" applyNumberFormat="1" applyFont="1" applyFill="1" applyBorder="1" applyAlignment="1" applyProtection="1"/>
    <xf numFmtId="169" fontId="23" fillId="0" borderId="0" xfId="42" applyNumberFormat="1" applyFont="1" applyFill="1" applyBorder="1" applyAlignment="1" applyProtection="1"/>
    <xf numFmtId="0" fontId="36" fillId="0" borderId="0" xfId="43" applyFont="1" applyBorder="1" applyProtection="1"/>
    <xf numFmtId="167" fontId="28" fillId="0" borderId="0" xfId="42" applyNumberFormat="1" applyFont="1" applyBorder="1" applyAlignment="1" applyProtection="1">
      <alignment horizontal="right"/>
    </xf>
    <xf numFmtId="167" fontId="30" fillId="0" borderId="0" xfId="42" applyNumberFormat="1" applyFont="1" applyBorder="1" applyAlignment="1" applyProtection="1"/>
    <xf numFmtId="167" fontId="30" fillId="0" borderId="12" xfId="42" applyNumberFormat="1" applyFont="1" applyBorder="1" applyAlignment="1" applyProtection="1"/>
    <xf numFmtId="169" fontId="29" fillId="0" borderId="0" xfId="42" applyNumberFormat="1" applyFont="1" applyFill="1" applyBorder="1" applyAlignment="1" applyProtection="1"/>
    <xf numFmtId="167" fontId="32" fillId="0" borderId="0" xfId="42" applyNumberFormat="1" applyFont="1" applyFill="1" applyBorder="1" applyAlignment="1" applyProtection="1"/>
    <xf numFmtId="166" fontId="28" fillId="0" borderId="0" xfId="42" applyNumberFormat="1" applyFont="1" applyFill="1" applyBorder="1" applyAlignment="1" applyProtection="1">
      <alignment horizontal="right"/>
    </xf>
    <xf numFmtId="168" fontId="33" fillId="0" borderId="0" xfId="44" applyNumberFormat="1" applyFont="1" applyFill="1" applyBorder="1" applyAlignment="1" applyProtection="1"/>
    <xf numFmtId="167" fontId="61" fillId="0" borderId="0" xfId="42" applyNumberFormat="1" applyFont="1" applyFill="1" applyBorder="1" applyAlignment="1" applyProtection="1"/>
    <xf numFmtId="168" fontId="28" fillId="0" borderId="0" xfId="44" applyNumberFormat="1" applyFont="1" applyFill="1" applyBorder="1" applyAlignment="1" applyProtection="1"/>
    <xf numFmtId="41" fontId="28" fillId="0" borderId="13" xfId="42" applyNumberFormat="1" applyFont="1" applyFill="1" applyBorder="1" applyAlignment="1" applyProtection="1"/>
    <xf numFmtId="41" fontId="28" fillId="0" borderId="14" xfId="42" applyNumberFormat="1" applyFont="1" applyFill="1" applyBorder="1" applyAlignment="1" applyProtection="1"/>
    <xf numFmtId="169" fontId="23" fillId="0" borderId="14" xfId="42" applyNumberFormat="1" applyFont="1" applyFill="1" applyBorder="1" applyAlignment="1" applyProtection="1"/>
    <xf numFmtId="41" fontId="28" fillId="0" borderId="14" xfId="42" applyNumberFormat="1" applyFont="1" applyFill="1" applyBorder="1" applyAlignment="1" applyProtection="1">
      <alignment horizontal="left"/>
    </xf>
    <xf numFmtId="0" fontId="5" fillId="0" borderId="14" xfId="43" applyBorder="1" applyProtection="1"/>
    <xf numFmtId="166" fontId="34" fillId="0" borderId="14" xfId="42" applyNumberFormat="1" applyFont="1" applyFill="1" applyBorder="1" applyAlignment="1" applyProtection="1">
      <alignment horizontal="right"/>
    </xf>
    <xf numFmtId="167" fontId="28" fillId="0" borderId="14" xfId="42" applyNumberFormat="1" applyFont="1" applyFill="1" applyBorder="1" applyAlignment="1" applyProtection="1">
      <alignment horizontal="center"/>
    </xf>
    <xf numFmtId="167" fontId="34" fillId="0" borderId="14" xfId="42" applyNumberFormat="1" applyFont="1" applyFill="1" applyBorder="1" applyAlignment="1" applyProtection="1"/>
    <xf numFmtId="167" fontId="34" fillId="0" borderId="15" xfId="42" applyNumberFormat="1" applyFont="1" applyFill="1" applyBorder="1" applyAlignment="1" applyProtection="1"/>
    <xf numFmtId="170" fontId="23" fillId="16" borderId="0" xfId="0" applyNumberFormat="1" applyFont="1" applyFill="1" applyBorder="1" applyProtection="1">
      <alignment wrapText="1"/>
      <protection locked="0"/>
    </xf>
    <xf numFmtId="170" fontId="29" fillId="0" borderId="12" xfId="0" applyNumberFormat="1" applyFont="1" applyBorder="1" applyProtection="1">
      <alignment wrapText="1"/>
    </xf>
    <xf numFmtId="170" fontId="23" fillId="0" borderId="11" xfId="0" applyNumberFormat="1" applyFont="1" applyFill="1" applyBorder="1" applyAlignment="1" applyProtection="1">
      <alignment vertical="center" wrapText="1"/>
      <protection locked="0"/>
    </xf>
    <xf numFmtId="170" fontId="40" fillId="0" borderId="11" xfId="0" applyNumberFormat="1" applyFont="1" applyBorder="1" applyAlignment="1" applyProtection="1"/>
    <xf numFmtId="170" fontId="24" fillId="0" borderId="0" xfId="0" applyNumberFormat="1" applyFont="1" applyBorder="1" applyAlignment="1" applyProtection="1"/>
    <xf numFmtId="170" fontId="24" fillId="0" borderId="0" xfId="0" applyNumberFormat="1" applyFont="1" applyBorder="1" applyProtection="1">
      <alignment wrapText="1"/>
    </xf>
    <xf numFmtId="167" fontId="24" fillId="0" borderId="11" xfId="0" applyNumberFormat="1" applyFont="1" applyFill="1" applyBorder="1" applyProtection="1">
      <alignment wrapText="1"/>
      <protection locked="0"/>
    </xf>
    <xf numFmtId="167" fontId="24" fillId="16" borderId="0" xfId="0" applyNumberFormat="1" applyFont="1" applyFill="1" applyBorder="1" applyProtection="1">
      <alignment wrapText="1"/>
      <protection locked="0"/>
    </xf>
    <xf numFmtId="167" fontId="24" fillId="0" borderId="12" xfId="0" applyNumberFormat="1" applyFont="1" applyBorder="1" applyProtection="1">
      <alignment wrapText="1"/>
    </xf>
    <xf numFmtId="170" fontId="24" fillId="0" borderId="0" xfId="0" applyNumberFormat="1" applyFont="1" applyProtection="1">
      <alignment wrapText="1"/>
    </xf>
    <xf numFmtId="170" fontId="29" fillId="16" borderId="0" xfId="0" applyNumberFormat="1" applyFont="1" applyFill="1" applyBorder="1" applyAlignment="1" applyProtection="1">
      <alignment vertical="center" wrapText="1"/>
      <protection locked="0"/>
    </xf>
    <xf numFmtId="170" fontId="23" fillId="0" borderId="0" xfId="0" applyNumberFormat="1" applyFont="1" applyFill="1" applyBorder="1" applyAlignment="1" applyProtection="1">
      <alignment vertical="center"/>
    </xf>
    <xf numFmtId="170" fontId="23" fillId="0" borderId="0" xfId="0" applyNumberFormat="1" applyFont="1" applyFill="1" applyBorder="1" applyAlignment="1" applyProtection="1">
      <alignment vertical="center" wrapText="1"/>
    </xf>
    <xf numFmtId="170" fontId="29" fillId="16" borderId="0" xfId="0" applyNumberFormat="1" applyFont="1" applyFill="1" applyBorder="1" applyProtection="1">
      <alignment wrapText="1"/>
      <protection locked="0"/>
    </xf>
    <xf numFmtId="170" fontId="23" fillId="0" borderId="0" xfId="0" applyNumberFormat="1" applyFont="1" applyBorder="1" applyAlignment="1" applyProtection="1">
      <alignment wrapText="1"/>
    </xf>
    <xf numFmtId="170" fontId="29" fillId="0" borderId="11" xfId="0" applyNumberFormat="1" applyFont="1" applyFill="1" applyBorder="1" applyAlignment="1" applyProtection="1">
      <alignment wrapText="1"/>
      <protection locked="0"/>
    </xf>
    <xf numFmtId="170" fontId="29" fillId="0" borderId="12" xfId="0" applyNumberFormat="1" applyFont="1" applyBorder="1" applyAlignment="1" applyProtection="1">
      <alignment wrapText="1"/>
    </xf>
    <xf numFmtId="170" fontId="23" fillId="0" borderId="0" xfId="0" applyNumberFormat="1" applyFont="1" applyAlignment="1" applyProtection="1">
      <alignment wrapText="1"/>
    </xf>
    <xf numFmtId="170" fontId="24" fillId="0" borderId="0" xfId="0" applyNumberFormat="1" applyFont="1" applyAlignment="1" applyProtection="1">
      <alignment vertical="center" wrapText="1"/>
    </xf>
    <xf numFmtId="170" fontId="23" fillId="0" borderId="11" xfId="0" applyNumberFormat="1" applyFont="1" applyFill="1" applyBorder="1" applyAlignment="1" applyProtection="1">
      <alignment vertical="center"/>
    </xf>
    <xf numFmtId="170" fontId="28" fillId="0" borderId="13" xfId="0" applyNumberFormat="1" applyFont="1" applyFill="1" applyBorder="1" applyAlignment="1" applyProtection="1"/>
    <xf numFmtId="170" fontId="23" fillId="0" borderId="14" xfId="0" applyNumberFormat="1" applyFont="1" applyFill="1" applyBorder="1" applyAlignment="1" applyProtection="1"/>
    <xf numFmtId="170" fontId="23" fillId="0" borderId="15" xfId="0" applyNumberFormat="1" applyFont="1" applyFill="1" applyBorder="1" applyProtection="1">
      <alignment wrapText="1"/>
    </xf>
    <xf numFmtId="170" fontId="28" fillId="0" borderId="0" xfId="0" applyNumberFormat="1" applyFont="1" applyBorder="1" applyAlignment="1" applyProtection="1"/>
    <xf numFmtId="170" fontId="23" fillId="0" borderId="0" xfId="0" applyNumberFormat="1" applyFont="1" applyFill="1" applyBorder="1" applyAlignment="1" applyProtection="1">
      <alignment horizontal="right" wrapText="1"/>
    </xf>
    <xf numFmtId="0" fontId="28" fillId="0" borderId="11" xfId="0" applyFont="1" applyBorder="1" applyAlignment="1" applyProtection="1"/>
    <xf numFmtId="176" fontId="24" fillId="0" borderId="0" xfId="0" applyNumberFormat="1" applyFont="1" applyBorder="1" applyAlignment="1" applyProtection="1"/>
    <xf numFmtId="176" fontId="23" fillId="0" borderId="0" xfId="0" applyNumberFormat="1" applyFont="1" applyBorder="1" applyAlignment="1" applyProtection="1"/>
    <xf numFmtId="175" fontId="28" fillId="0" borderId="0" xfId="0" applyNumberFormat="1" applyFont="1" applyFill="1" applyBorder="1" applyAlignment="1" applyProtection="1"/>
    <xf numFmtId="176" fontId="28" fillId="0" borderId="0" xfId="0" applyNumberFormat="1" applyFont="1" applyBorder="1" applyAlignment="1" applyProtection="1"/>
    <xf numFmtId="0" fontId="41" fillId="0" borderId="11" xfId="0" applyFont="1" applyBorder="1" applyAlignment="1" applyProtection="1"/>
    <xf numFmtId="0" fontId="62" fillId="0" borderId="0" xfId="0" applyFont="1" applyBorder="1" applyAlignment="1" applyProtection="1"/>
    <xf numFmtId="167" fontId="28" fillId="0" borderId="12" xfId="0" applyNumberFormat="1" applyFont="1" applyFill="1" applyBorder="1" applyAlignment="1" applyProtection="1">
      <protection locked="0"/>
    </xf>
    <xf numFmtId="0" fontId="23" fillId="0" borderId="12" xfId="0" applyFont="1" applyBorder="1" applyAlignment="1" applyProtection="1"/>
    <xf numFmtId="170" fontId="25" fillId="15" borderId="16" xfId="0" applyNumberFormat="1" applyFont="1" applyFill="1" applyBorder="1" applyAlignment="1" applyProtection="1"/>
    <xf numFmtId="170" fontId="0" fillId="15" borderId="17" xfId="0" applyNumberFormat="1" applyFont="1" applyFill="1" applyBorder="1" applyAlignment="1" applyProtection="1"/>
    <xf numFmtId="170" fontId="0" fillId="15" borderId="18" xfId="0" applyNumberFormat="1" applyFont="1" applyFill="1" applyBorder="1" applyProtection="1">
      <alignment wrapText="1"/>
    </xf>
    <xf numFmtId="170" fontId="23" fillId="15" borderId="17" xfId="0" applyNumberFormat="1" applyFont="1" applyFill="1" applyBorder="1" applyProtection="1">
      <alignment wrapText="1"/>
    </xf>
    <xf numFmtId="170" fontId="23" fillId="15" borderId="18" xfId="0" applyNumberFormat="1" applyFont="1" applyFill="1" applyBorder="1" applyProtection="1">
      <alignment wrapText="1"/>
    </xf>
    <xf numFmtId="167" fontId="28" fillId="0" borderId="0" xfId="0" applyNumberFormat="1" applyFont="1" applyFill="1" applyBorder="1" applyAlignment="1" applyProtection="1"/>
    <xf numFmtId="0" fontId="28" fillId="0" borderId="0" xfId="0" applyFont="1" applyFill="1" applyBorder="1" applyAlignment="1" applyProtection="1"/>
    <xf numFmtId="167" fontId="23" fillId="0" borderId="0" xfId="0" applyNumberFormat="1" applyFont="1" applyFill="1" applyBorder="1" applyAlignment="1" applyProtection="1"/>
    <xf numFmtId="0" fontId="28" fillId="0" borderId="0" xfId="0" applyFont="1" applyBorder="1" applyAlignment="1" applyProtection="1"/>
    <xf numFmtId="0" fontId="23" fillId="0" borderId="0" xfId="0" applyFont="1" applyFill="1" applyBorder="1" applyAlignment="1" applyProtection="1"/>
    <xf numFmtId="170" fontId="28" fillId="0" borderId="0" xfId="0" applyNumberFormat="1" applyFont="1" applyBorder="1" applyProtection="1">
      <alignment wrapText="1"/>
    </xf>
    <xf numFmtId="44" fontId="41" fillId="0" borderId="0" xfId="46" applyNumberFormat="1" applyFont="1" applyFill="1" applyBorder="1" applyAlignment="1">
      <alignment vertical="center"/>
    </xf>
    <xf numFmtId="167" fontId="41" fillId="0" borderId="0" xfId="46" applyNumberFormat="1" applyFont="1" applyFill="1" applyBorder="1" applyAlignment="1">
      <alignment vertical="center"/>
    </xf>
    <xf numFmtId="167" fontId="41" fillId="0" borderId="0" xfId="46" applyNumberFormat="1" applyFont="1" applyFill="1" applyBorder="1" applyAlignment="1">
      <alignment horizontal="center" vertical="center" wrapText="1"/>
    </xf>
    <xf numFmtId="44" fontId="63" fillId="0" borderId="17" xfId="46" applyNumberFormat="1" applyFont="1" applyBorder="1" applyAlignment="1">
      <alignment horizontal="centerContinuous"/>
    </xf>
    <xf numFmtId="173" fontId="23" fillId="0" borderId="0" xfId="46" applyNumberFormat="1" applyFont="1" applyFill="1" applyBorder="1"/>
    <xf numFmtId="167" fontId="28" fillId="0" borderId="12" xfId="46" applyNumberFormat="1" applyFont="1" applyFill="1" applyBorder="1"/>
    <xf numFmtId="167" fontId="23" fillId="0" borderId="12" xfId="46" applyNumberFormat="1" applyFont="1" applyFill="1" applyBorder="1"/>
    <xf numFmtId="167" fontId="28" fillId="0" borderId="0" xfId="46" applyNumberFormat="1" applyFont="1" applyFill="1" applyBorder="1" applyAlignment="1">
      <alignment horizontal="right"/>
    </xf>
    <xf numFmtId="44" fontId="64" fillId="0" borderId="0" xfId="46" applyNumberFormat="1" applyFont="1" applyFill="1" applyBorder="1" applyAlignment="1">
      <alignment vertical="center"/>
    </xf>
    <xf numFmtId="44" fontId="65" fillId="0" borderId="0" xfId="46" applyNumberFormat="1" applyFont="1" applyFill="1" applyBorder="1" applyAlignment="1">
      <alignment vertical="center"/>
    </xf>
    <xf numFmtId="44" fontId="53" fillId="0" borderId="0" xfId="46" applyNumberFormat="1" applyFont="1" applyBorder="1"/>
    <xf numFmtId="44" fontId="66" fillId="0" borderId="0" xfId="46" applyNumberFormat="1" applyFont="1" applyBorder="1"/>
    <xf numFmtId="44" fontId="28" fillId="0" borderId="16" xfId="46" applyNumberFormat="1" applyFont="1" applyBorder="1"/>
    <xf numFmtId="0" fontId="37" fillId="0" borderId="0" xfId="0" applyFont="1" applyFill="1" applyAlignment="1"/>
    <xf numFmtId="0" fontId="39" fillId="0" borderId="0" xfId="0" applyFont="1" applyFill="1" applyAlignment="1"/>
    <xf numFmtId="0" fontId="38" fillId="0" borderId="0" xfId="0" applyFont="1" applyFill="1" applyAlignment="1"/>
    <xf numFmtId="0" fontId="67" fillId="0" borderId="0" xfId="0" applyFont="1" applyFill="1" applyAlignment="1"/>
    <xf numFmtId="0" fontId="65" fillId="0" borderId="0" xfId="0" applyFont="1" applyFill="1" applyAlignment="1"/>
    <xf numFmtId="167" fontId="34" fillId="0" borderId="11" xfId="42" applyNumberFormat="1" applyFont="1" applyFill="1" applyBorder="1" applyAlignment="1"/>
    <xf numFmtId="167" fontId="28" fillId="0" borderId="26" xfId="0" applyNumberFormat="1" applyFont="1" applyFill="1" applyBorder="1" applyAlignment="1" applyProtection="1"/>
    <xf numFmtId="0" fontId="28" fillId="0" borderId="27" xfId="0" applyFont="1" applyFill="1" applyBorder="1" applyAlignment="1" applyProtection="1"/>
    <xf numFmtId="167" fontId="23" fillId="0" borderId="0" xfId="0" applyNumberFormat="1" applyFont="1" applyFill="1" applyBorder="1" applyAlignment="1" applyProtection="1">
      <protection locked="0"/>
    </xf>
    <xf numFmtId="170" fontId="23" fillId="0" borderId="29" xfId="0" applyNumberFormat="1" applyFont="1" applyFill="1" applyBorder="1" applyProtection="1">
      <alignment wrapText="1"/>
    </xf>
    <xf numFmtId="170" fontId="23" fillId="0" borderId="27" xfId="0" applyNumberFormat="1" applyFont="1" applyFill="1" applyBorder="1" applyProtection="1">
      <alignment wrapText="1"/>
    </xf>
    <xf numFmtId="0" fontId="47" fillId="0" borderId="0" xfId="0" applyFont="1" applyFill="1" applyBorder="1" applyAlignment="1" applyProtection="1"/>
    <xf numFmtId="0" fontId="28" fillId="0" borderId="0" xfId="0" applyFont="1" applyFill="1" applyBorder="1" applyProtection="1">
      <alignment wrapText="1"/>
    </xf>
    <xf numFmtId="0" fontId="23" fillId="0" borderId="0" xfId="0" applyFont="1" applyFill="1" applyBorder="1" applyProtection="1">
      <alignment wrapText="1"/>
    </xf>
    <xf numFmtId="0" fontId="37" fillId="0" borderId="0" xfId="0" applyFont="1" applyFill="1" applyAlignment="1" applyProtection="1"/>
    <xf numFmtId="170" fontId="28" fillId="0" borderId="26" xfId="0" applyNumberFormat="1" applyFont="1" applyFill="1" applyBorder="1" applyAlignment="1" applyProtection="1">
      <alignment vertical="center"/>
    </xf>
    <xf numFmtId="170" fontId="23" fillId="0" borderId="29" xfId="0" applyNumberFormat="1" applyFont="1" applyFill="1" applyBorder="1" applyAlignment="1" applyProtection="1">
      <alignment vertical="center"/>
    </xf>
    <xf numFmtId="170" fontId="23" fillId="0" borderId="29" xfId="0" applyNumberFormat="1" applyFont="1" applyFill="1" applyBorder="1" applyAlignment="1" applyProtection="1">
      <alignment vertical="center" wrapText="1"/>
    </xf>
    <xf numFmtId="170" fontId="23" fillId="0" borderId="30" xfId="0" applyNumberFormat="1" applyFont="1" applyFill="1" applyBorder="1" applyProtection="1">
      <alignment wrapText="1"/>
      <protection locked="0"/>
    </xf>
    <xf numFmtId="170" fontId="23" fillId="0" borderId="29" xfId="0" applyNumberFormat="1" applyFont="1" applyFill="1" applyBorder="1" applyProtection="1">
      <alignment wrapText="1"/>
      <protection locked="0"/>
    </xf>
    <xf numFmtId="170" fontId="28" fillId="0" borderId="26" xfId="0" applyNumberFormat="1" applyFont="1" applyFill="1" applyBorder="1" applyAlignment="1" applyProtection="1"/>
    <xf numFmtId="170" fontId="23" fillId="0" borderId="29" xfId="0" applyNumberFormat="1" applyFont="1" applyFill="1" applyBorder="1" applyAlignment="1" applyProtection="1"/>
    <xf numFmtId="170" fontId="23" fillId="0" borderId="28" xfId="0" applyNumberFormat="1" applyFont="1" applyFill="1" applyBorder="1" applyProtection="1">
      <alignment wrapText="1"/>
    </xf>
    <xf numFmtId="0" fontId="38" fillId="0" borderId="0" xfId="0" applyFont="1" applyFill="1" applyAlignment="1" applyProtection="1"/>
    <xf numFmtId="170" fontId="24" fillId="0" borderId="0" xfId="0" applyNumberFormat="1" applyFont="1" applyFill="1" applyBorder="1" applyAlignment="1" applyProtection="1"/>
    <xf numFmtId="170" fontId="24" fillId="0" borderId="0" xfId="0" applyNumberFormat="1" applyFont="1" applyFill="1" applyBorder="1" applyProtection="1">
      <alignment wrapText="1"/>
    </xf>
    <xf numFmtId="170" fontId="66" fillId="0" borderId="0" xfId="0" applyNumberFormat="1" applyFont="1" applyFill="1" applyBorder="1" applyAlignment="1" applyProtection="1"/>
    <xf numFmtId="170" fontId="66" fillId="0" borderId="0" xfId="0" applyNumberFormat="1" applyFont="1" applyFill="1" applyBorder="1" applyProtection="1">
      <alignment wrapText="1"/>
    </xf>
    <xf numFmtId="0" fontId="66" fillId="0" borderId="0" xfId="0" applyFont="1" applyFill="1" applyAlignment="1" applyProtection="1"/>
    <xf numFmtId="44" fontId="62" fillId="0" borderId="0" xfId="46" applyNumberFormat="1" applyFont="1" applyBorder="1"/>
    <xf numFmtId="170" fontId="29" fillId="0" borderId="0" xfId="0" applyNumberFormat="1" applyFont="1" applyFill="1" applyBorder="1" applyProtection="1">
      <alignment wrapText="1"/>
      <protection locked="0"/>
    </xf>
    <xf numFmtId="44" fontId="23" fillId="0" borderId="11" xfId="46" applyNumberFormat="1" applyFont="1" applyFill="1" applyBorder="1"/>
    <xf numFmtId="168" fontId="29" fillId="0" borderId="0" xfId="46" applyNumberFormat="1" applyFont="1" applyFill="1" applyBorder="1" applyProtection="1">
      <protection locked="0"/>
    </xf>
    <xf numFmtId="167" fontId="23" fillId="0" borderId="0" xfId="46" applyNumberFormat="1" applyFont="1" applyFill="1" applyBorder="1"/>
    <xf numFmtId="44" fontId="1" fillId="0" borderId="0" xfId="46" applyNumberFormat="1" applyFill="1" applyBorder="1"/>
    <xf numFmtId="44" fontId="50" fillId="0" borderId="0" xfId="46" applyNumberFormat="1" applyFont="1" applyFill="1" applyBorder="1"/>
    <xf numFmtId="44" fontId="23" fillId="16" borderId="31" xfId="46" applyNumberFormat="1" applyFont="1" applyFill="1" applyBorder="1" applyAlignment="1" applyProtection="1">
      <alignment horizontal="left"/>
      <protection locked="0"/>
    </xf>
    <xf numFmtId="37" fontId="23" fillId="16" borderId="31" xfId="46" applyNumberFormat="1" applyFont="1" applyFill="1" applyBorder="1" applyAlignment="1" applyProtection="1">
      <alignment horizontal="left"/>
      <protection locked="0"/>
    </xf>
    <xf numFmtId="44" fontId="23" fillId="0" borderId="0" xfId="46" applyNumberFormat="1" applyFont="1" applyFill="1" applyBorder="1" applyAlignment="1" applyProtection="1">
      <alignment horizontal="left"/>
      <protection locked="0"/>
    </xf>
    <xf numFmtId="44" fontId="23" fillId="0" borderId="0" xfId="46" applyNumberFormat="1" applyFont="1" applyFill="1" applyBorder="1" applyAlignment="1" applyProtection="1">
      <alignment horizontal="right"/>
      <protection locked="0"/>
    </xf>
    <xf numFmtId="167" fontId="23" fillId="0" borderId="0" xfId="46" applyNumberFormat="1" applyFont="1" applyBorder="1" applyAlignment="1">
      <alignment horizontal="center"/>
    </xf>
    <xf numFmtId="167" fontId="23" fillId="0" borderId="12" xfId="46" applyNumberFormat="1" applyFont="1" applyBorder="1" applyAlignment="1">
      <alignment horizontal="center"/>
    </xf>
    <xf numFmtId="170" fontId="62" fillId="0" borderId="0" xfId="0" applyNumberFormat="1" applyFont="1" applyAlignment="1" applyProtection="1">
      <alignment vertical="center"/>
    </xf>
    <xf numFmtId="170" fontId="29" fillId="16" borderId="0" xfId="0" applyNumberFormat="1" applyFont="1" applyFill="1" applyBorder="1" applyAlignment="1" applyProtection="1">
      <alignment wrapText="1"/>
      <protection locked="0"/>
    </xf>
    <xf numFmtId="44" fontId="62" fillId="0" borderId="0" xfId="46" applyNumberFormat="1" applyFont="1" applyFill="1" applyBorder="1"/>
    <xf numFmtId="170" fontId="28" fillId="0" borderId="11" xfId="0" applyNumberFormat="1" applyFont="1" applyBorder="1" applyAlignment="1" applyProtection="1">
      <alignment vertical="center"/>
    </xf>
    <xf numFmtId="9" fontId="23" fillId="0" borderId="0" xfId="48" applyFont="1" applyBorder="1"/>
    <xf numFmtId="165" fontId="30" fillId="0" borderId="11" xfId="42" applyNumberFormat="1" applyFont="1" applyBorder="1" applyAlignment="1"/>
    <xf numFmtId="165" fontId="30" fillId="0" borderId="32" xfId="42" applyNumberFormat="1" applyFont="1" applyBorder="1" applyAlignment="1"/>
    <xf numFmtId="165" fontId="34" fillId="0" borderId="25" xfId="42" applyNumberFormat="1" applyFont="1" applyFill="1" applyBorder="1" applyAlignment="1"/>
    <xf numFmtId="41" fontId="23" fillId="0" borderId="19" xfId="42" applyNumberFormat="1" applyFont="1" applyBorder="1" applyAlignment="1">
      <alignment horizontal="right" wrapText="1"/>
    </xf>
    <xf numFmtId="165" fontId="28" fillId="0" borderId="0" xfId="48" applyNumberFormat="1" applyFont="1" applyFill="1" applyBorder="1" applyAlignment="1" applyProtection="1"/>
    <xf numFmtId="44" fontId="1" fillId="0" borderId="0" xfId="46" applyNumberFormat="1" applyBorder="1" applyAlignment="1">
      <alignment horizontal="right"/>
    </xf>
    <xf numFmtId="167" fontId="1" fillId="0" borderId="0" xfId="46" applyNumberFormat="1" applyBorder="1"/>
    <xf numFmtId="44" fontId="23" fillId="0" borderId="0" xfId="49" applyFont="1" applyBorder="1"/>
    <xf numFmtId="167" fontId="23" fillId="0" borderId="0" xfId="48" applyNumberFormat="1" applyFont="1" applyBorder="1"/>
    <xf numFmtId="170" fontId="23" fillId="0" borderId="0" xfId="0" applyNumberFormat="1" applyFont="1" applyBorder="1" applyAlignment="1" applyProtection="1">
      <alignment horizontal="right" wrapText="1"/>
    </xf>
    <xf numFmtId="170" fontId="23" fillId="0" borderId="11" xfId="0" applyNumberFormat="1" applyFont="1" applyFill="1" applyBorder="1" applyProtection="1">
      <alignment wrapText="1"/>
    </xf>
    <xf numFmtId="170" fontId="23" fillId="0" borderId="12" xfId="0" applyNumberFormat="1" applyFont="1" applyBorder="1" applyAlignment="1" applyProtection="1">
      <alignment horizontal="right" wrapText="1"/>
    </xf>
    <xf numFmtId="167" fontId="24" fillId="0" borderId="0" xfId="0" applyNumberFormat="1" applyFont="1" applyFill="1" applyBorder="1" applyProtection="1">
      <alignment wrapText="1"/>
      <protection locked="0"/>
    </xf>
    <xf numFmtId="0" fontId="23" fillId="0" borderId="0" xfId="0" quotePrefix="1" applyFont="1" applyBorder="1" applyAlignment="1" applyProtection="1"/>
    <xf numFmtId="176" fontId="71" fillId="0" borderId="0" xfId="0" applyNumberFormat="1" applyFont="1" applyBorder="1" applyAlignment="1" applyProtection="1"/>
    <xf numFmtId="175" fontId="28" fillId="0" borderId="0" xfId="0" applyNumberFormat="1" applyFont="1" applyFill="1" applyBorder="1" applyAlignment="1" applyProtection="1"/>
    <xf numFmtId="167" fontId="23" fillId="16" borderId="0" xfId="48" applyNumberFormat="1" applyFont="1" applyFill="1" applyBorder="1" applyAlignment="1" applyProtection="1">
      <alignment wrapText="1"/>
      <protection locked="0"/>
    </xf>
    <xf numFmtId="0" fontId="41" fillId="0" borderId="0" xfId="0" applyFont="1" applyFill="1" applyBorder="1" applyAlignment="1" applyProtection="1"/>
    <xf numFmtId="0" fontId="62" fillId="0" borderId="0" xfId="0" applyFont="1" applyFill="1" applyBorder="1" applyAlignment="1" applyProtection="1"/>
    <xf numFmtId="166" fontId="23" fillId="0" borderId="0" xfId="49" applyNumberFormat="1" applyFont="1" applyFill="1" applyBorder="1" applyAlignment="1" applyProtection="1">
      <alignment horizontal="right" wrapText="1"/>
    </xf>
    <xf numFmtId="0" fontId="28" fillId="0" borderId="33" xfId="0" applyFont="1" applyFill="1" applyBorder="1" applyAlignment="1" applyProtection="1"/>
    <xf numFmtId="0" fontId="62" fillId="0" borderId="34" xfId="0" applyFont="1" applyFill="1" applyBorder="1" applyAlignment="1" applyProtection="1"/>
    <xf numFmtId="0" fontId="62" fillId="0" borderId="35" xfId="0" applyFont="1" applyFill="1" applyBorder="1" applyAlignment="1" applyProtection="1"/>
    <xf numFmtId="170" fontId="23" fillId="0" borderId="33" xfId="0" applyNumberFormat="1" applyFont="1" applyFill="1" applyBorder="1" applyAlignment="1" applyProtection="1">
      <alignment horizontal="right" wrapText="1"/>
    </xf>
    <xf numFmtId="170" fontId="23" fillId="0" borderId="33" xfId="0" applyNumberFormat="1" applyFont="1" applyFill="1" applyBorder="1" applyProtection="1">
      <alignment wrapText="1"/>
    </xf>
    <xf numFmtId="0" fontId="41" fillId="0" borderId="34" xfId="0" applyFont="1" applyFill="1" applyBorder="1" applyAlignment="1" applyProtection="1"/>
    <xf numFmtId="167" fontId="23" fillId="16" borderId="0" xfId="0" applyNumberFormat="1" applyFont="1" applyFill="1" applyBorder="1" applyAlignment="1" applyProtection="1"/>
    <xf numFmtId="176" fontId="28" fillId="0" borderId="0" xfId="0" applyNumberFormat="1" applyFont="1" applyAlignment="1" applyProtection="1"/>
    <xf numFmtId="170" fontId="23" fillId="0" borderId="12" xfId="0" applyNumberFormat="1" applyFont="1" applyFill="1" applyBorder="1" applyProtection="1">
      <alignment wrapText="1"/>
      <protection locked="0"/>
    </xf>
    <xf numFmtId="170" fontId="23" fillId="0" borderId="36" xfId="0" applyNumberFormat="1" applyFont="1" applyBorder="1" applyProtection="1">
      <alignment wrapText="1"/>
    </xf>
    <xf numFmtId="3" fontId="72" fillId="0" borderId="0" xfId="0" applyNumberFormat="1" applyFont="1">
      <alignment wrapText="1"/>
    </xf>
    <xf numFmtId="44" fontId="28" fillId="16" borderId="16" xfId="46" applyNumberFormat="1" applyFont="1" applyFill="1" applyBorder="1" applyAlignment="1" applyProtection="1">
      <alignment horizontal="center"/>
      <protection locked="0"/>
    </xf>
    <xf numFmtId="44" fontId="28" fillId="16" borderId="17" xfId="46" applyNumberFormat="1" applyFont="1" applyFill="1" applyBorder="1" applyAlignment="1" applyProtection="1">
      <alignment horizontal="center"/>
      <protection locked="0"/>
    </xf>
    <xf numFmtId="44" fontId="28" fillId="16" borderId="18" xfId="46" applyNumberFormat="1" applyFont="1" applyFill="1" applyBorder="1" applyAlignment="1" applyProtection="1">
      <alignment horizontal="center"/>
      <protection locked="0"/>
    </xf>
    <xf numFmtId="44" fontId="23" fillId="0" borderId="11" xfId="46" applyNumberFormat="1" applyFont="1" applyFill="1" applyBorder="1" applyAlignment="1">
      <alignment horizontal="center"/>
    </xf>
    <xf numFmtId="44" fontId="23" fillId="0" borderId="0" xfId="46" applyNumberFormat="1" applyFont="1" applyFill="1" applyBorder="1" applyAlignment="1">
      <alignment horizontal="center"/>
    </xf>
    <xf numFmtId="44" fontId="23" fillId="0" borderId="12" xfId="46" applyNumberFormat="1" applyFont="1" applyFill="1" applyBorder="1" applyAlignment="1">
      <alignment horizontal="center"/>
    </xf>
    <xf numFmtId="44" fontId="23" fillId="0" borderId="11" xfId="46" applyNumberFormat="1" applyFont="1" applyFill="1" applyBorder="1" applyAlignment="1">
      <alignment horizontal="right"/>
    </xf>
    <xf numFmtId="44" fontId="23" fillId="0" borderId="0" xfId="46" applyNumberFormat="1" applyFont="1" applyFill="1" applyBorder="1" applyAlignment="1">
      <alignment horizontal="right"/>
    </xf>
    <xf numFmtId="44" fontId="24" fillId="16" borderId="13" xfId="46" applyNumberFormat="1" applyFont="1" applyFill="1" applyBorder="1" applyAlignment="1" applyProtection="1">
      <alignment horizontal="left"/>
      <protection locked="0"/>
    </xf>
    <xf numFmtId="44" fontId="24" fillId="16" borderId="14" xfId="46" applyNumberFormat="1" applyFont="1" applyFill="1" applyBorder="1" applyAlignment="1" applyProtection="1">
      <alignment horizontal="left"/>
      <protection locked="0"/>
    </xf>
    <xf numFmtId="44" fontId="24" fillId="16" borderId="15" xfId="46" applyNumberFormat="1" applyFont="1" applyFill="1" applyBorder="1" applyAlignment="1" applyProtection="1">
      <alignment horizontal="left"/>
      <protection locked="0"/>
    </xf>
    <xf numFmtId="0" fontId="42" fillId="0" borderId="0" xfId="0" applyFont="1" applyFill="1" applyAlignment="1">
      <alignment horizontal="center"/>
    </xf>
    <xf numFmtId="44" fontId="0" fillId="16" borderId="0" xfId="0" applyNumberFormat="1" applyFont="1" applyFill="1" applyAlignment="1">
      <alignment horizontal="left"/>
    </xf>
    <xf numFmtId="0" fontId="0" fillId="16" borderId="0" xfId="0" applyFont="1" applyFill="1" applyAlignment="1">
      <alignment horizontal="left"/>
    </xf>
    <xf numFmtId="44" fontId="58" fillId="0" borderId="0" xfId="0" applyNumberFormat="1" applyFont="1" applyFill="1" applyAlignment="1">
      <alignment horizontal="center"/>
    </xf>
    <xf numFmtId="0" fontId="58" fillId="0" borderId="0" xfId="0" applyFont="1" applyFill="1" applyAlignment="1">
      <alignment horizontal="center"/>
    </xf>
    <xf numFmtId="0" fontId="0" fillId="16" borderId="0" xfId="0" applyNumberFormat="1" applyFont="1" applyFill="1" applyAlignment="1">
      <alignment horizontal="left"/>
    </xf>
    <xf numFmtId="174" fontId="58" fillId="0" borderId="0" xfId="0" applyNumberFormat="1" applyFont="1" applyFill="1" applyAlignment="1">
      <alignment horizontal="center"/>
    </xf>
    <xf numFmtId="175" fontId="28" fillId="0" borderId="0" xfId="0" applyNumberFormat="1" applyFont="1" applyFill="1" applyBorder="1" applyAlignment="1" applyProtection="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9" builtinId="4"/>
    <cellStyle name="Currency 2" xfId="44"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00000000-0005-0000-0000-000027000000}"/>
    <cellStyle name="Normal 3" xfId="43" xr:uid="{00000000-0005-0000-0000-000028000000}"/>
    <cellStyle name="Normal 4" xfId="45" xr:uid="{00000000-0005-0000-0000-000029000000}"/>
    <cellStyle name="Normal 5" xfId="46" xr:uid="{00000000-0005-0000-0000-00002A000000}"/>
    <cellStyle name="Note" xfId="37" builtinId="10" customBuiltin="1"/>
    <cellStyle name="Output" xfId="38" builtinId="21" customBuiltin="1"/>
    <cellStyle name="Percent" xfId="48" builtinId="5"/>
    <cellStyle name="Percent 2" xfId="47" xr:uid="{00000000-0005-0000-0000-00002E000000}"/>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2300DC"/>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BDE6E1"/>
      <rgbColor rgb="00FFFF99"/>
      <rgbColor rgb="0099CCFF"/>
      <rgbColor rgb="00FF99CC"/>
      <rgbColor rgb="00CC99FF"/>
      <rgbColor rgb="00FFCC99"/>
      <rgbColor rgb="003366FF"/>
      <rgbColor rgb="0033CCCC"/>
      <rgbColor rgb="0099CC00"/>
      <rgbColor rgb="00FFCC0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FFF99"/>
      <color rgb="FF66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1200149</xdr:colOff>
      <xdr:row>0</xdr:row>
      <xdr:rowOff>95251</xdr:rowOff>
    </xdr:from>
    <xdr:to>
      <xdr:col>1</xdr:col>
      <xdr:colOff>2219325</xdr:colOff>
      <xdr:row>0</xdr:row>
      <xdr:rowOff>476251</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bwMode="auto">
        <a:xfrm>
          <a:off x="1419224" y="95251"/>
          <a:ext cx="1019176" cy="38100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gela/Dropbox/00%20WGU/Pay/C:/Users/Cotte/Documents/SNHU/FIN320/FIN320-2014OctToDec-CourseAdm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ing"/>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2"/>
  <sheetViews>
    <sheetView showGridLines="0" tabSelected="1" zoomScale="118" zoomScaleNormal="100" workbookViewId="0">
      <pane ySplit="1" topLeftCell="A2" activePane="bottomLeft" state="frozen"/>
      <selection activeCell="B23" sqref="B23"/>
      <selection pane="bottomLeft" activeCell="G142" sqref="G142"/>
    </sheetView>
  </sheetViews>
  <sheetFormatPr baseColWidth="10" defaultColWidth="8.83203125" defaultRowHeight="11" x14ac:dyDescent="0.15"/>
  <cols>
    <col min="1" max="1" width="3.33203125" style="109" customWidth="1"/>
    <col min="2" max="2" width="43.1640625" style="109" customWidth="1"/>
    <col min="3" max="3" width="16.33203125" style="109" customWidth="1"/>
    <col min="4" max="5" width="15.6640625" style="109" customWidth="1"/>
    <col min="6" max="6" width="13.5" style="120" customWidth="1"/>
    <col min="7" max="7" width="16.33203125" style="120" customWidth="1"/>
    <col min="8" max="8" width="2" style="167" customWidth="1"/>
    <col min="9" max="9" width="3.83203125" style="109" customWidth="1"/>
    <col min="10" max="10" width="97.1640625" style="108" customWidth="1"/>
    <col min="11" max="16384" width="8.83203125" style="109"/>
  </cols>
  <sheetData>
    <row r="1" spans="1:10" s="100" customFormat="1" ht="44.25" customHeight="1" x14ac:dyDescent="0.15">
      <c r="A1" s="358" t="s">
        <v>200</v>
      </c>
      <c r="B1" s="350"/>
      <c r="C1" s="359" t="s">
        <v>248</v>
      </c>
      <c r="D1" s="350"/>
      <c r="E1" s="350"/>
      <c r="F1" s="351"/>
      <c r="G1" s="351"/>
      <c r="H1" s="352"/>
      <c r="I1" s="350"/>
      <c r="J1" s="350"/>
    </row>
    <row r="2" spans="1:10" s="35" customFormat="1" ht="15" customHeight="1" x14ac:dyDescent="0.15">
      <c r="A2" s="34"/>
      <c r="B2" s="168" t="s">
        <v>155</v>
      </c>
      <c r="C2" s="169" t="s">
        <v>85</v>
      </c>
      <c r="D2" s="391" t="s">
        <v>193</v>
      </c>
      <c r="G2" s="34"/>
    </row>
    <row r="3" spans="1:10" s="35" customFormat="1" ht="12" customHeight="1" x14ac:dyDescent="0.15">
      <c r="A3" s="34"/>
      <c r="B3" s="168" t="s">
        <v>86</v>
      </c>
      <c r="C3" s="170">
        <v>1000</v>
      </c>
      <c r="D3" s="391" t="s">
        <v>296</v>
      </c>
      <c r="G3" s="34"/>
      <c r="I3" s="171"/>
      <c r="J3" s="171"/>
    </row>
    <row r="4" spans="1:10" s="100" customFormat="1" x14ac:dyDescent="0.15">
      <c r="A4" s="441" t="s">
        <v>299</v>
      </c>
      <c r="B4" s="442"/>
      <c r="C4" s="442"/>
      <c r="D4" s="442"/>
      <c r="E4" s="442"/>
      <c r="F4" s="442"/>
      <c r="G4" s="443"/>
      <c r="H4" s="101"/>
      <c r="I4" s="100" t="s">
        <v>87</v>
      </c>
      <c r="J4" s="361" t="s">
        <v>195</v>
      </c>
    </row>
    <row r="5" spans="1:10" s="100" customFormat="1" x14ac:dyDescent="0.15">
      <c r="A5" s="102" t="s">
        <v>88</v>
      </c>
      <c r="B5" s="103"/>
      <c r="C5" s="103"/>
      <c r="D5" s="103"/>
      <c r="E5" s="103"/>
      <c r="F5" s="104"/>
      <c r="G5" s="105"/>
      <c r="H5" s="106"/>
      <c r="I5" s="100" t="s">
        <v>87</v>
      </c>
      <c r="J5" s="361" t="s">
        <v>196</v>
      </c>
    </row>
    <row r="6" spans="1:10" x14ac:dyDescent="0.15">
      <c r="A6" s="444" t="str">
        <f>"Unaudited; Amounts "&amp;$C$2&amp;" x "&amp;$C$3</f>
        <v>Unaudited; Amounts USD x 1000</v>
      </c>
      <c r="B6" s="445"/>
      <c r="C6" s="445"/>
      <c r="D6" s="445"/>
      <c r="E6" s="445"/>
      <c r="F6" s="445"/>
      <c r="G6" s="446"/>
      <c r="H6" s="107"/>
      <c r="I6" s="100" t="s">
        <v>87</v>
      </c>
      <c r="J6" s="361" t="s">
        <v>194</v>
      </c>
    </row>
    <row r="7" spans="1:10" x14ac:dyDescent="0.15">
      <c r="A7" s="447" t="s">
        <v>226</v>
      </c>
      <c r="B7" s="448"/>
      <c r="C7" s="448"/>
      <c r="D7" s="399" t="s">
        <v>298</v>
      </c>
      <c r="E7" s="400">
        <v>31</v>
      </c>
      <c r="F7" s="110"/>
      <c r="G7" s="111"/>
      <c r="H7" s="107"/>
      <c r="I7" s="100" t="s">
        <v>87</v>
      </c>
      <c r="J7" s="361" t="s">
        <v>89</v>
      </c>
    </row>
    <row r="8" spans="1:10" ht="14" x14ac:dyDescent="0.3">
      <c r="A8" s="112"/>
      <c r="B8" s="113"/>
      <c r="C8" s="113"/>
      <c r="D8" s="113"/>
      <c r="E8" s="113"/>
      <c r="F8" s="114" t="s">
        <v>90</v>
      </c>
      <c r="G8" s="115"/>
      <c r="H8" s="116"/>
      <c r="J8" s="361"/>
    </row>
    <row r="9" spans="1:10" ht="15" customHeight="1" x14ac:dyDescent="0.3">
      <c r="A9" s="112"/>
      <c r="B9" s="113"/>
      <c r="C9" s="172">
        <v>2019</v>
      </c>
      <c r="D9" s="117">
        <f>C9-1</f>
        <v>2018</v>
      </c>
      <c r="E9" s="117">
        <f>D9-1</f>
        <v>2017</v>
      </c>
      <c r="F9" s="117">
        <f>C9</f>
        <v>2019</v>
      </c>
      <c r="G9" s="118">
        <f>D9</f>
        <v>2018</v>
      </c>
      <c r="H9" s="119"/>
      <c r="I9" s="100" t="s">
        <v>87</v>
      </c>
      <c r="J9" s="361" t="s">
        <v>217</v>
      </c>
    </row>
    <row r="10" spans="1:10" ht="21.75" customHeight="1" x14ac:dyDescent="0.2">
      <c r="A10" s="112" t="s">
        <v>297</v>
      </c>
      <c r="B10" s="113"/>
      <c r="C10" s="440">
        <v>280522000</v>
      </c>
      <c r="D10" s="173">
        <v>232887000</v>
      </c>
      <c r="E10" s="173">
        <v>177866000</v>
      </c>
      <c r="F10" s="120">
        <f>IF(D10=0,0,(C10-D10)/ABS(D10))</f>
        <v>0.2045412582067698</v>
      </c>
      <c r="G10" s="121">
        <f>IF(E10=0,0,(D10-E10)/ABS(E10))</f>
        <v>0.3093396152159491</v>
      </c>
      <c r="H10" s="116"/>
      <c r="J10" s="361"/>
    </row>
    <row r="11" spans="1:10" ht="19" x14ac:dyDescent="0.3">
      <c r="A11" s="112" t="s">
        <v>218</v>
      </c>
      <c r="B11" s="113"/>
      <c r="C11" s="174">
        <v>205768000</v>
      </c>
      <c r="D11" s="440">
        <v>173183000</v>
      </c>
      <c r="E11" s="440">
        <v>137183000</v>
      </c>
      <c r="F11" s="120">
        <f t="shared" ref="F11:G12" si="0">IF(D11=0,0,(C11-D11)/ABS(D11))</f>
        <v>0.18815357165541652</v>
      </c>
      <c r="G11" s="121">
        <f t="shared" si="0"/>
        <v>0.26242318654643798</v>
      </c>
      <c r="H11" s="116"/>
      <c r="I11" s="109" t="s">
        <v>87</v>
      </c>
      <c r="J11" s="361" t="s">
        <v>221</v>
      </c>
    </row>
    <row r="12" spans="1:10" x14ac:dyDescent="0.15">
      <c r="A12" s="112" t="s">
        <v>91</v>
      </c>
      <c r="B12" s="113"/>
      <c r="C12" s="122">
        <f>C10-C11</f>
        <v>74754000</v>
      </c>
      <c r="D12" s="122">
        <f t="shared" ref="D12:E12" si="1">D10-D11</f>
        <v>59704000</v>
      </c>
      <c r="E12" s="122">
        <f t="shared" si="1"/>
        <v>40683000</v>
      </c>
      <c r="F12" s="120">
        <f t="shared" si="0"/>
        <v>0.25207691276966365</v>
      </c>
      <c r="G12" s="121">
        <f t="shared" si="0"/>
        <v>0.46754172504485902</v>
      </c>
      <c r="H12" s="116"/>
    </row>
    <row r="13" spans="1:10" x14ac:dyDescent="0.15">
      <c r="A13" s="112"/>
      <c r="B13" s="113"/>
      <c r="C13" s="122"/>
      <c r="D13" s="122"/>
      <c r="E13" s="122"/>
      <c r="G13" s="121"/>
      <c r="H13" s="116"/>
    </row>
    <row r="14" spans="1:10" ht="17" x14ac:dyDescent="0.2">
      <c r="A14" s="112" t="s">
        <v>40</v>
      </c>
      <c r="B14" s="113"/>
      <c r="C14" s="440">
        <v>201000</v>
      </c>
      <c r="D14" s="440">
        <v>296000</v>
      </c>
      <c r="E14" s="440">
        <v>214000</v>
      </c>
      <c r="F14" s="120">
        <f t="shared" ref="F14:G15" si="2">IF(D14=0,0,(C14-D14)/ABS(D14))</f>
        <v>-0.32094594594594594</v>
      </c>
      <c r="G14" s="121">
        <f t="shared" si="2"/>
        <v>0.38317757009345793</v>
      </c>
      <c r="H14" s="116"/>
      <c r="I14" s="109" t="s">
        <v>87</v>
      </c>
      <c r="J14" s="361" t="s">
        <v>220</v>
      </c>
    </row>
    <row r="15" spans="1:10" ht="17" x14ac:dyDescent="0.2">
      <c r="A15" s="112" t="s">
        <v>219</v>
      </c>
      <c r="B15" s="113"/>
      <c r="C15" s="440">
        <v>14541000</v>
      </c>
      <c r="D15" s="440">
        <v>12421000</v>
      </c>
      <c r="E15" s="440">
        <v>4106000</v>
      </c>
      <c r="F15" s="120">
        <f t="shared" si="2"/>
        <v>0.17067868931648014</v>
      </c>
      <c r="G15" s="121">
        <f t="shared" si="2"/>
        <v>2.02508524111057</v>
      </c>
      <c r="H15" s="116"/>
      <c r="I15" s="109" t="s">
        <v>87</v>
      </c>
      <c r="J15" s="392" t="s">
        <v>197</v>
      </c>
    </row>
    <row r="16" spans="1:10" x14ac:dyDescent="0.15">
      <c r="A16" s="112"/>
      <c r="B16" s="113"/>
      <c r="C16" s="122"/>
      <c r="D16" s="122"/>
      <c r="E16" s="122"/>
      <c r="G16" s="121"/>
      <c r="H16" s="116"/>
    </row>
    <row r="17" spans="1:10" ht="17" x14ac:dyDescent="0.2">
      <c r="A17" s="394" t="s">
        <v>222</v>
      </c>
      <c r="B17" s="407"/>
      <c r="C17" s="440">
        <v>1600000</v>
      </c>
      <c r="D17" s="440">
        <v>1417000</v>
      </c>
      <c r="E17" s="440">
        <v>848000</v>
      </c>
      <c r="F17" s="120" t="e">
        <f>IF(D17=0,0,(#REF!-D17)/ABS(D17))</f>
        <v>#REF!</v>
      </c>
      <c r="G17" s="121">
        <f t="shared" ref="F17:G20" si="3">IF(E17=0,0,(D17-E17)/ABS(E17))</f>
        <v>0.67099056603773588</v>
      </c>
      <c r="H17" s="116"/>
    </row>
    <row r="18" spans="1:10" ht="17" x14ac:dyDescent="0.2">
      <c r="A18" s="394" t="s">
        <v>223</v>
      </c>
      <c r="B18" s="407"/>
      <c r="C18" s="440">
        <v>203000</v>
      </c>
      <c r="D18" s="440">
        <v>-183000</v>
      </c>
      <c r="E18" s="440">
        <v>346000</v>
      </c>
      <c r="F18" s="120">
        <f>IF(D18=0,0,(C17-D18)/ABS(D18))</f>
        <v>9.7431693989071047</v>
      </c>
      <c r="G18" s="121">
        <f t="shared" si="3"/>
        <v>-1.5289017341040463</v>
      </c>
      <c r="H18" s="116"/>
    </row>
    <row r="19" spans="1:10" s="397" customFormat="1" ht="14" x14ac:dyDescent="0.3">
      <c r="A19" s="394"/>
      <c r="B19" s="154"/>
      <c r="C19" s="395"/>
      <c r="D19" s="395"/>
      <c r="E19" s="395"/>
      <c r="F19" s="396"/>
      <c r="G19" s="356"/>
      <c r="H19" s="106"/>
      <c r="J19" s="398"/>
    </row>
    <row r="20" spans="1:10" ht="17" x14ac:dyDescent="0.2">
      <c r="A20" s="112" t="s">
        <v>239</v>
      </c>
      <c r="B20" s="113"/>
      <c r="C20" s="440">
        <v>13976000</v>
      </c>
      <c r="D20" s="440">
        <v>11261000</v>
      </c>
      <c r="E20" s="440">
        <v>3806000</v>
      </c>
      <c r="F20" s="120">
        <f t="shared" si="3"/>
        <v>0.24109759346416837</v>
      </c>
      <c r="G20" s="121">
        <f t="shared" si="3"/>
        <v>1.9587493431424068</v>
      </c>
      <c r="H20" s="116"/>
      <c r="I20" s="109" t="s">
        <v>87</v>
      </c>
      <c r="J20" s="392" t="s">
        <v>197</v>
      </c>
    </row>
    <row r="21" spans="1:10" x14ac:dyDescent="0.15">
      <c r="A21" s="112"/>
      <c r="B21" s="113"/>
      <c r="C21" s="122"/>
      <c r="D21" s="122"/>
      <c r="E21" s="122"/>
      <c r="G21" s="121"/>
      <c r="H21" s="116"/>
    </row>
    <row r="22" spans="1:10" ht="17" x14ac:dyDescent="0.2">
      <c r="A22" s="112" t="s">
        <v>224</v>
      </c>
      <c r="B22" s="113"/>
      <c r="C22" s="440">
        <v>2374000</v>
      </c>
      <c r="D22" s="440">
        <v>1197000</v>
      </c>
      <c r="E22" s="440">
        <v>769000</v>
      </c>
      <c r="F22" s="120">
        <f t="shared" ref="F22:G23" si="4">IF(D22=0,0,(C22-D22)/ABS(D22))</f>
        <v>0.98329156223893066</v>
      </c>
      <c r="G22" s="121">
        <f t="shared" si="4"/>
        <v>0.55656697009102729</v>
      </c>
      <c r="H22" s="116"/>
    </row>
    <row r="23" spans="1:10" x14ac:dyDescent="0.15">
      <c r="A23" s="112" t="s">
        <v>92</v>
      </c>
      <c r="B23" s="113"/>
      <c r="C23" s="122">
        <f>C20-C22</f>
        <v>11602000</v>
      </c>
      <c r="D23" s="122">
        <f t="shared" ref="D23:E23" si="5">D20-D22</f>
        <v>10064000</v>
      </c>
      <c r="E23" s="122">
        <f t="shared" si="5"/>
        <v>3037000</v>
      </c>
      <c r="F23" s="120">
        <f t="shared" si="4"/>
        <v>0.15282193958664547</v>
      </c>
      <c r="G23" s="121">
        <f t="shared" si="4"/>
        <v>2.3137965097135331</v>
      </c>
      <c r="H23" s="116"/>
      <c r="I23" s="109" t="s">
        <v>87</v>
      </c>
      <c r="J23" s="361" t="s">
        <v>93</v>
      </c>
    </row>
    <row r="24" spans="1:10" x14ac:dyDescent="0.15">
      <c r="A24" s="112"/>
      <c r="B24" s="113"/>
      <c r="C24" s="122"/>
      <c r="D24" s="122"/>
      <c r="E24" s="122"/>
      <c r="G24" s="121"/>
      <c r="H24" s="116"/>
      <c r="J24" s="361"/>
    </row>
    <row r="25" spans="1:10" ht="14" x14ac:dyDescent="0.3">
      <c r="A25" s="112" t="s">
        <v>94</v>
      </c>
      <c r="B25" s="113"/>
      <c r="C25" s="174">
        <v>0</v>
      </c>
      <c r="D25" s="174">
        <v>0</v>
      </c>
      <c r="E25" s="174">
        <v>0</v>
      </c>
      <c r="F25" s="120">
        <f t="shared" ref="F25:G26" si="6">IF(D25=0,0,(C25-D25)/ABS(D25))</f>
        <v>0</v>
      </c>
      <c r="G25" s="121">
        <f t="shared" si="6"/>
        <v>0</v>
      </c>
      <c r="H25" s="116"/>
      <c r="I25" s="109" t="s">
        <v>87</v>
      </c>
      <c r="J25" s="361" t="s">
        <v>95</v>
      </c>
    </row>
    <row r="26" spans="1:10" x14ac:dyDescent="0.15">
      <c r="A26" s="112" t="s">
        <v>96</v>
      </c>
      <c r="B26" s="113"/>
      <c r="C26" s="122">
        <f>C23+C25</f>
        <v>11602000</v>
      </c>
      <c r="D26" s="122">
        <f t="shared" ref="D26:E26" si="7">D23+D25</f>
        <v>10064000</v>
      </c>
      <c r="E26" s="122">
        <f t="shared" si="7"/>
        <v>3037000</v>
      </c>
      <c r="F26" s="120">
        <f t="shared" si="6"/>
        <v>0.15282193958664547</v>
      </c>
      <c r="G26" s="121">
        <f t="shared" si="6"/>
        <v>2.3137965097135331</v>
      </c>
      <c r="H26" s="116"/>
      <c r="I26" s="109" t="s">
        <v>87</v>
      </c>
      <c r="J26" s="392" t="s">
        <v>197</v>
      </c>
    </row>
    <row r="27" spans="1:10" x14ac:dyDescent="0.15">
      <c r="A27" s="112"/>
      <c r="B27" s="113"/>
      <c r="C27" s="122"/>
      <c r="D27" s="122"/>
      <c r="E27" s="122"/>
      <c r="G27" s="121"/>
      <c r="H27" s="116"/>
      <c r="J27" s="361"/>
    </row>
    <row r="28" spans="1:10" ht="17" x14ac:dyDescent="0.2">
      <c r="A28" s="112" t="s">
        <v>225</v>
      </c>
      <c r="B28" s="113"/>
      <c r="C28" s="440">
        <v>11588000</v>
      </c>
      <c r="D28" s="440">
        <v>10073000</v>
      </c>
      <c r="E28" s="440">
        <v>3033000</v>
      </c>
      <c r="F28" s="120">
        <f t="shared" ref="F28:G29" si="8">IF(D28=0,0,(C28-D28)/ABS(D28))</f>
        <v>0.15040206492603991</v>
      </c>
      <c r="G28" s="121">
        <f t="shared" si="8"/>
        <v>2.3211341905703922</v>
      </c>
      <c r="H28" s="116"/>
      <c r="I28" s="109" t="s">
        <v>87</v>
      </c>
      <c r="J28" s="361" t="s">
        <v>97</v>
      </c>
    </row>
    <row r="29" spans="1:10" x14ac:dyDescent="0.15">
      <c r="A29" s="112" t="s">
        <v>240</v>
      </c>
      <c r="B29" s="113"/>
      <c r="C29" s="113">
        <f>IF(C28=0,0,C26/C28)</f>
        <v>1.0012081463583018</v>
      </c>
      <c r="D29" s="113">
        <f t="shared" ref="D29:E29" si="9">IF(D28=0,0,D26/D28)</f>
        <v>0.99910652238657793</v>
      </c>
      <c r="E29" s="113">
        <f t="shared" si="9"/>
        <v>1.0013188262446422</v>
      </c>
      <c r="F29" s="120">
        <f t="shared" si="8"/>
        <v>2.1035034049259231E-3</v>
      </c>
      <c r="G29" s="121">
        <f t="shared" si="8"/>
        <v>-2.209390056473129E-3</v>
      </c>
      <c r="H29" s="116"/>
      <c r="J29" s="361"/>
    </row>
    <row r="30" spans="1:10" x14ac:dyDescent="0.15">
      <c r="A30" s="112"/>
      <c r="B30" s="113"/>
      <c r="C30" s="113"/>
      <c r="D30" s="113"/>
      <c r="E30" s="113"/>
      <c r="G30" s="121"/>
      <c r="H30" s="116"/>
      <c r="J30" s="361"/>
    </row>
    <row r="31" spans="1:10" x14ac:dyDescent="0.15">
      <c r="A31" s="112" t="s">
        <v>98</v>
      </c>
      <c r="B31" s="113"/>
      <c r="C31" s="120">
        <f>IF(C10=0,0,C26/C10)</f>
        <v>4.1358610019891488E-2</v>
      </c>
      <c r="D31" s="120">
        <f>IF(D10=0,0,D26/D10)</f>
        <v>4.3214090953981973E-2</v>
      </c>
      <c r="E31" s="120">
        <f>IF(E10=0,0,E26/E10)</f>
        <v>1.7074651704091844E-2</v>
      </c>
      <c r="G31" s="121"/>
      <c r="H31" s="116"/>
      <c r="I31" s="109" t="s">
        <v>87</v>
      </c>
      <c r="J31" s="361" t="s">
        <v>99</v>
      </c>
    </row>
    <row r="32" spans="1:10" x14ac:dyDescent="0.15">
      <c r="A32" s="112" t="s">
        <v>100</v>
      </c>
      <c r="B32" s="113"/>
      <c r="C32" s="175">
        <v>504000000</v>
      </c>
      <c r="D32" s="175">
        <v>500000000</v>
      </c>
      <c r="E32" s="175">
        <v>493000000</v>
      </c>
      <c r="F32" s="120">
        <f t="shared" ref="F32:G34" si="10">IF(D32=0,0,(C32-D32)/ABS(D32))</f>
        <v>8.0000000000000002E-3</v>
      </c>
      <c r="G32" s="121">
        <f t="shared" si="10"/>
        <v>1.4198782961460446E-2</v>
      </c>
      <c r="H32" s="116"/>
      <c r="I32" s="109" t="s">
        <v>87</v>
      </c>
      <c r="J32" s="361" t="s">
        <v>199</v>
      </c>
    </row>
    <row r="33" spans="1:10" x14ac:dyDescent="0.15">
      <c r="A33" s="112" t="s">
        <v>160</v>
      </c>
      <c r="B33" s="113"/>
      <c r="C33" s="122">
        <f>C28*C32</f>
        <v>5840352000000000</v>
      </c>
      <c r="D33" s="122">
        <f t="shared" ref="D33:E33" si="11">D28*D32</f>
        <v>5036500000000000</v>
      </c>
      <c r="E33" s="122">
        <f t="shared" si="11"/>
        <v>1495269000000000</v>
      </c>
      <c r="G33" s="121"/>
      <c r="H33" s="116"/>
      <c r="I33" s="109" t="s">
        <v>87</v>
      </c>
      <c r="J33" s="361" t="s">
        <v>161</v>
      </c>
    </row>
    <row r="34" spans="1:10" x14ac:dyDescent="0.15">
      <c r="A34" s="112" t="s">
        <v>101</v>
      </c>
      <c r="B34" s="113"/>
      <c r="C34" s="124">
        <f>IF(C29=0,0,C32/C29)</f>
        <v>503391828.99500078</v>
      </c>
      <c r="D34" s="124">
        <f t="shared" ref="D34:E34" si="12">IF(D29=0,0,D32/D29)</f>
        <v>500447138.31478542</v>
      </c>
      <c r="E34" s="124">
        <f t="shared" si="12"/>
        <v>492350675.00823182</v>
      </c>
      <c r="F34" s="120">
        <f t="shared" si="10"/>
        <v>5.884119330028267E-3</v>
      </c>
      <c r="G34" s="121">
        <f t="shared" si="10"/>
        <v>1.6444505344525493E-2</v>
      </c>
      <c r="H34" s="116"/>
      <c r="I34" s="109" t="s">
        <v>87</v>
      </c>
      <c r="J34" s="361" t="s">
        <v>102</v>
      </c>
    </row>
    <row r="35" spans="1:10" x14ac:dyDescent="0.15">
      <c r="A35" s="112"/>
      <c r="B35" s="113"/>
      <c r="C35" s="124"/>
      <c r="D35" s="124"/>
      <c r="E35" s="124"/>
      <c r="G35" s="121"/>
      <c r="H35" s="116"/>
      <c r="J35" s="361"/>
    </row>
    <row r="36" spans="1:10" x14ac:dyDescent="0.15">
      <c r="A36" s="449" t="s">
        <v>300</v>
      </c>
      <c r="B36" s="450"/>
      <c r="C36" s="450"/>
      <c r="D36" s="450"/>
      <c r="E36" s="450"/>
      <c r="F36" s="450"/>
      <c r="G36" s="451"/>
      <c r="H36" s="125"/>
      <c r="I36" s="109" t="s">
        <v>87</v>
      </c>
      <c r="J36" s="361" t="s">
        <v>198</v>
      </c>
    </row>
    <row r="37" spans="1:10" s="100" customFormat="1" x14ac:dyDescent="0.15">
      <c r="A37" s="126" t="str">
        <f>A$4</f>
        <v>Amazon</v>
      </c>
      <c r="B37" s="127"/>
      <c r="C37" s="353"/>
      <c r="D37" s="127"/>
      <c r="E37" s="127"/>
      <c r="F37" s="128"/>
      <c r="G37" s="129"/>
      <c r="H37" s="101"/>
      <c r="J37" s="360"/>
    </row>
    <row r="38" spans="1:10" s="100" customFormat="1" x14ac:dyDescent="0.15">
      <c r="A38" s="130" t="s">
        <v>103</v>
      </c>
      <c r="B38" s="131"/>
      <c r="C38" s="131"/>
      <c r="D38" s="131"/>
      <c r="E38" s="131"/>
      <c r="F38" s="132"/>
      <c r="G38" s="133"/>
      <c r="H38" s="116"/>
      <c r="J38" s="360"/>
    </row>
    <row r="39" spans="1:10" x14ac:dyDescent="0.15">
      <c r="A39" s="134" t="str">
        <f>A$6</f>
        <v>Unaudited; Amounts USD x 1000</v>
      </c>
      <c r="B39" s="135"/>
      <c r="C39" s="135"/>
      <c r="D39" s="135"/>
      <c r="E39" s="135"/>
      <c r="F39" s="136"/>
      <c r="G39" s="137"/>
      <c r="H39" s="116"/>
      <c r="J39" s="361"/>
    </row>
    <row r="40" spans="1:10" x14ac:dyDescent="0.15">
      <c r="A40" s="401"/>
      <c r="B40" s="401"/>
      <c r="C40" s="401"/>
      <c r="D40" s="402" t="str">
        <f>A$7&amp;" "&amp;$D$7&amp;" "&amp;$E$7</f>
        <v>For Fiscal Years ending: dec 31</v>
      </c>
      <c r="E40" s="401"/>
      <c r="F40" s="403"/>
      <c r="G40" s="404"/>
      <c r="H40" s="107"/>
      <c r="J40" s="361"/>
    </row>
    <row r="41" spans="1:10" ht="14" x14ac:dyDescent="0.3">
      <c r="A41" s="112"/>
      <c r="B41" s="113"/>
      <c r="C41" s="113"/>
      <c r="D41" s="113"/>
      <c r="E41" s="113"/>
      <c r="F41" s="114" t="s">
        <v>90</v>
      </c>
      <c r="G41" s="115"/>
      <c r="H41" s="116"/>
      <c r="J41" s="361"/>
    </row>
    <row r="42" spans="1:10" s="100" customFormat="1" ht="13.5" customHeight="1" x14ac:dyDescent="0.3">
      <c r="A42" s="138"/>
      <c r="B42" s="139"/>
      <c r="C42" s="117">
        <f>C$9</f>
        <v>2019</v>
      </c>
      <c r="D42" s="117">
        <f t="shared" ref="D42:E42" si="13">D$9</f>
        <v>2018</v>
      </c>
      <c r="E42" s="117">
        <f t="shared" si="13"/>
        <v>2017</v>
      </c>
      <c r="F42" s="117">
        <f>C42</f>
        <v>2019</v>
      </c>
      <c r="G42" s="118">
        <f>D42</f>
        <v>2018</v>
      </c>
      <c r="H42" s="119"/>
      <c r="J42" s="360"/>
    </row>
    <row r="43" spans="1:10" ht="18" customHeight="1" x14ac:dyDescent="0.15">
      <c r="A43" s="112" t="s">
        <v>104</v>
      </c>
      <c r="B43" s="113"/>
      <c r="C43" s="113">
        <f>C$26</f>
        <v>11602000</v>
      </c>
      <c r="D43" s="113">
        <f t="shared" ref="D43:E43" si="14">D$26</f>
        <v>10064000</v>
      </c>
      <c r="E43" s="113">
        <f t="shared" si="14"/>
        <v>3037000</v>
      </c>
      <c r="F43" s="120">
        <f t="shared" ref="F43:G43" si="15">IF(D43=0,0,(C43-D43)/ABS(D43))</f>
        <v>0.15282193958664547</v>
      </c>
      <c r="G43" s="121">
        <f t="shared" si="15"/>
        <v>2.3137965097135331</v>
      </c>
      <c r="H43" s="116"/>
      <c r="J43" s="361"/>
    </row>
    <row r="44" spans="1:10" x14ac:dyDescent="0.15">
      <c r="A44" s="112"/>
      <c r="B44" s="113"/>
      <c r="C44" s="113"/>
      <c r="D44" s="113"/>
      <c r="E44" s="113"/>
      <c r="G44" s="121"/>
      <c r="H44" s="116"/>
      <c r="J44" s="361"/>
    </row>
    <row r="45" spans="1:10" ht="17" x14ac:dyDescent="0.2">
      <c r="A45" s="112" t="s">
        <v>105</v>
      </c>
      <c r="B45" s="113"/>
      <c r="C45" s="440">
        <v>21789000</v>
      </c>
      <c r="D45" s="440">
        <v>15341000</v>
      </c>
      <c r="E45" s="440">
        <v>11478000</v>
      </c>
      <c r="F45" s="120">
        <f t="shared" ref="F45:G47" si="16">IF(D45=0,0,(C45-D45)/ABS(D45))</f>
        <v>0.42031158333876539</v>
      </c>
      <c r="G45" s="121">
        <f t="shared" si="16"/>
        <v>0.33655689144450252</v>
      </c>
      <c r="H45" s="116"/>
      <c r="I45" s="109" t="s">
        <v>87</v>
      </c>
      <c r="J45" s="361" t="s">
        <v>106</v>
      </c>
    </row>
    <row r="46" spans="1:10" ht="14" x14ac:dyDescent="0.3">
      <c r="A46" s="112" t="s">
        <v>107</v>
      </c>
      <c r="B46" s="113"/>
      <c r="C46" s="140">
        <f>C47-C43-C45</f>
        <v>5123000</v>
      </c>
      <c r="D46" s="140">
        <f t="shared" ref="D46:E46" si="17">D47-D43-D45</f>
        <v>5318000</v>
      </c>
      <c r="E46" s="140">
        <f t="shared" si="17"/>
        <v>3919000</v>
      </c>
      <c r="F46" s="120">
        <f t="shared" si="16"/>
        <v>-3.666792027077849E-2</v>
      </c>
      <c r="G46" s="121">
        <f t="shared" si="16"/>
        <v>0.35697882112783874</v>
      </c>
      <c r="H46" s="116"/>
      <c r="I46" s="109" t="s">
        <v>87</v>
      </c>
      <c r="J46" s="361" t="s">
        <v>202</v>
      </c>
    </row>
    <row r="47" spans="1:10" ht="17" x14ac:dyDescent="0.2">
      <c r="A47" s="112" t="s">
        <v>268</v>
      </c>
      <c r="B47" s="113"/>
      <c r="C47" s="440">
        <v>38514000</v>
      </c>
      <c r="D47" s="440">
        <v>30723000</v>
      </c>
      <c r="E47" s="440">
        <v>18434000</v>
      </c>
      <c r="F47" s="120">
        <f t="shared" si="16"/>
        <v>0.25358851674641147</v>
      </c>
      <c r="G47" s="121">
        <f t="shared" si="16"/>
        <v>0.66664858413800587</v>
      </c>
      <c r="H47" s="116"/>
      <c r="I47" s="109" t="s">
        <v>87</v>
      </c>
      <c r="J47" s="361" t="s">
        <v>108</v>
      </c>
    </row>
    <row r="48" spans="1:10" x14ac:dyDescent="0.15">
      <c r="A48" s="112"/>
      <c r="B48" s="113"/>
      <c r="C48" s="113"/>
      <c r="D48" s="113"/>
      <c r="E48" s="113"/>
      <c r="G48" s="121"/>
      <c r="H48" s="116"/>
      <c r="J48" s="361"/>
    </row>
    <row r="49" spans="1:10" ht="17" x14ac:dyDescent="0.2">
      <c r="A49" s="112" t="s">
        <v>234</v>
      </c>
      <c r="B49" s="113"/>
      <c r="C49" s="440">
        <v>-16861000</v>
      </c>
      <c r="D49" s="440">
        <v>-13427000</v>
      </c>
      <c r="E49" s="440">
        <v>-11955000</v>
      </c>
      <c r="F49" s="120">
        <f t="shared" ref="F49:G51" si="18">IF(D49=0,0,(C49-D49)/ABS(D49))</f>
        <v>-0.25575333283682133</v>
      </c>
      <c r="G49" s="121">
        <f t="shared" si="18"/>
        <v>-0.12312839815976578</v>
      </c>
      <c r="H49" s="116"/>
      <c r="I49" s="109" t="s">
        <v>87</v>
      </c>
      <c r="J49" s="361" t="s">
        <v>227</v>
      </c>
    </row>
    <row r="50" spans="1:10" ht="14" x14ac:dyDescent="0.3">
      <c r="A50" s="112" t="s">
        <v>109</v>
      </c>
      <c r="B50" s="113"/>
      <c r="C50" s="140">
        <f>C51-C49</f>
        <v>-7420000</v>
      </c>
      <c r="D50" s="140">
        <f t="shared" ref="D50:E50" si="19">D51-D49</f>
        <v>1058000</v>
      </c>
      <c r="E50" s="140">
        <f t="shared" si="19"/>
        <v>-15864000</v>
      </c>
      <c r="F50" s="120">
        <f t="shared" si="18"/>
        <v>-8.0132325141776946</v>
      </c>
      <c r="G50" s="121">
        <f t="shared" si="18"/>
        <v>1.0666918809884014</v>
      </c>
      <c r="H50" s="116"/>
      <c r="I50" s="109" t="s">
        <v>87</v>
      </c>
      <c r="J50" s="361" t="s">
        <v>201</v>
      </c>
    </row>
    <row r="51" spans="1:10" ht="17" x14ac:dyDescent="0.2">
      <c r="A51" s="112" t="s">
        <v>54</v>
      </c>
      <c r="B51" s="113"/>
      <c r="C51" s="440">
        <v>-24281000</v>
      </c>
      <c r="D51" s="440">
        <v>-12369000</v>
      </c>
      <c r="E51" s="440">
        <v>-27819000</v>
      </c>
      <c r="F51" s="120">
        <f t="shared" si="18"/>
        <v>-0.96305279327350635</v>
      </c>
      <c r="G51" s="121">
        <f t="shared" si="18"/>
        <v>0.55537582227973692</v>
      </c>
      <c r="H51" s="116"/>
      <c r="I51" s="109" t="s">
        <v>87</v>
      </c>
      <c r="J51" s="361" t="s">
        <v>228</v>
      </c>
    </row>
    <row r="52" spans="1:10" x14ac:dyDescent="0.15">
      <c r="A52" s="112"/>
      <c r="B52" s="113"/>
      <c r="C52" s="113"/>
      <c r="D52" s="113"/>
      <c r="E52" s="113"/>
      <c r="G52" s="121"/>
      <c r="H52" s="116"/>
      <c r="J52" s="361"/>
    </row>
    <row r="53" spans="1:10" x14ac:dyDescent="0.15">
      <c r="A53" s="112" t="s">
        <v>110</v>
      </c>
      <c r="B53" s="113"/>
      <c r="C53" s="123">
        <v>-12339000</v>
      </c>
      <c r="D53" s="123">
        <v>-8454000</v>
      </c>
      <c r="E53" s="123">
        <v>-6371000</v>
      </c>
      <c r="F53" s="120" t="e">
        <f>IF(D53=0,0,(#REF!-D53)/ABS(D53))</f>
        <v>#REF!</v>
      </c>
      <c r="G53" s="121">
        <f t="shared" ref="F53:G57" si="20">IF(E53=0,0,(D53-E53)/ABS(E53))</f>
        <v>-0.32695024328990741</v>
      </c>
      <c r="H53" s="116"/>
      <c r="I53" s="109" t="s">
        <v>87</v>
      </c>
      <c r="J53" s="361" t="s">
        <v>231</v>
      </c>
    </row>
    <row r="54" spans="1:10" x14ac:dyDescent="0.15">
      <c r="A54" s="112" t="s">
        <v>230</v>
      </c>
      <c r="B54" s="113"/>
      <c r="C54" s="109">
        <v>10668000</v>
      </c>
      <c r="D54" s="123">
        <v>475000</v>
      </c>
      <c r="E54" s="123">
        <v>3656000</v>
      </c>
      <c r="F54" s="120">
        <f>IF(D54=0,0,(C53-D54)/ABS(D54))</f>
        <v>-26.97684210526316</v>
      </c>
      <c r="G54" s="121">
        <f t="shared" si="20"/>
        <v>-0.87007658643326036</v>
      </c>
      <c r="H54" s="116"/>
      <c r="I54" s="109" t="s">
        <v>87</v>
      </c>
      <c r="J54" s="361" t="s">
        <v>232</v>
      </c>
    </row>
    <row r="55" spans="1:10" x14ac:dyDescent="0.15">
      <c r="A55" s="112" t="s">
        <v>229</v>
      </c>
      <c r="B55" s="113"/>
      <c r="C55" s="123">
        <v>0</v>
      </c>
      <c r="D55" s="123">
        <v>0</v>
      </c>
      <c r="E55" s="123">
        <v>0</v>
      </c>
      <c r="F55" s="120">
        <f t="shared" si="20"/>
        <v>0</v>
      </c>
      <c r="G55" s="121">
        <f t="shared" si="20"/>
        <v>0</v>
      </c>
      <c r="H55" s="116"/>
      <c r="I55" s="109" t="s">
        <v>87</v>
      </c>
      <c r="J55" s="361" t="s">
        <v>111</v>
      </c>
    </row>
    <row r="56" spans="1:10" ht="14" x14ac:dyDescent="0.3">
      <c r="A56" s="112" t="s">
        <v>112</v>
      </c>
      <c r="B56" s="113"/>
      <c r="C56" s="140">
        <f>C57-SUM(C53:C55)</f>
        <v>11737000</v>
      </c>
      <c r="D56" s="140">
        <f t="shared" ref="D56:E56" si="21">D57-SUM(D53:D55)</f>
        <v>15665000</v>
      </c>
      <c r="E56" s="140">
        <f t="shared" si="21"/>
        <v>12575000</v>
      </c>
      <c r="F56" s="120">
        <f t="shared" si="20"/>
        <v>-0.25075007979572295</v>
      </c>
      <c r="G56" s="121">
        <f t="shared" si="20"/>
        <v>0.24572564612326045</v>
      </c>
      <c r="H56" s="116"/>
      <c r="J56" s="361"/>
    </row>
    <row r="57" spans="1:10" x14ac:dyDescent="0.15">
      <c r="A57" s="112" t="s">
        <v>56</v>
      </c>
      <c r="B57" s="113"/>
      <c r="C57" s="123">
        <v>10066000</v>
      </c>
      <c r="D57" s="123">
        <v>7686000</v>
      </c>
      <c r="E57" s="123">
        <v>9860000</v>
      </c>
      <c r="F57" s="120">
        <f t="shared" si="20"/>
        <v>0.30965391621129323</v>
      </c>
      <c r="G57" s="121">
        <f t="shared" si="20"/>
        <v>-0.22048681541582149</v>
      </c>
      <c r="H57" s="116"/>
      <c r="I57" s="109" t="s">
        <v>87</v>
      </c>
      <c r="J57" s="361" t="s">
        <v>108</v>
      </c>
    </row>
    <row r="58" spans="1:10" x14ac:dyDescent="0.15">
      <c r="A58" s="112"/>
      <c r="B58" s="113"/>
      <c r="C58" s="113"/>
      <c r="D58" s="113"/>
      <c r="E58" s="113"/>
      <c r="G58" s="121"/>
      <c r="H58" s="116"/>
      <c r="J58" s="361"/>
    </row>
    <row r="59" spans="1:10" ht="14" x14ac:dyDescent="0.3">
      <c r="A59" s="112" t="s">
        <v>113</v>
      </c>
      <c r="B59" s="113"/>
      <c r="C59" s="141"/>
      <c r="D59" s="141"/>
      <c r="E59" s="141"/>
      <c r="F59" s="120">
        <f t="shared" ref="F59:G60" si="22">IF(D59=0,0,(C59-D59)/ABS(D59))</f>
        <v>0</v>
      </c>
      <c r="G59" s="121">
        <f t="shared" si="22"/>
        <v>0</v>
      </c>
      <c r="H59" s="116"/>
      <c r="I59" s="109" t="s">
        <v>87</v>
      </c>
      <c r="J59" s="361" t="s">
        <v>233</v>
      </c>
    </row>
    <row r="60" spans="1:10" x14ac:dyDescent="0.15">
      <c r="A60" s="112" t="s">
        <v>21</v>
      </c>
      <c r="B60" s="113"/>
      <c r="C60" s="113">
        <v>4237000</v>
      </c>
      <c r="D60" s="113">
        <v>10317000</v>
      </c>
      <c r="E60" s="113">
        <v>1922000</v>
      </c>
      <c r="F60" s="120">
        <f t="shared" si="22"/>
        <v>-0.58931860036832417</v>
      </c>
      <c r="G60" s="121">
        <f t="shared" si="22"/>
        <v>4.3678459937565037</v>
      </c>
      <c r="H60" s="116"/>
      <c r="I60" s="109" t="s">
        <v>87</v>
      </c>
      <c r="J60" s="392" t="s">
        <v>197</v>
      </c>
    </row>
    <row r="61" spans="1:10" x14ac:dyDescent="0.15">
      <c r="A61" s="112"/>
      <c r="B61" s="113"/>
      <c r="C61" s="113"/>
      <c r="D61" s="113"/>
      <c r="E61" s="113"/>
      <c r="G61" s="121"/>
      <c r="H61" s="116"/>
      <c r="J61" s="361"/>
    </row>
    <row r="62" spans="1:10" s="147" customFormat="1" x14ac:dyDescent="0.15">
      <c r="A62" s="142" t="s">
        <v>114</v>
      </c>
      <c r="B62" s="143"/>
      <c r="C62" s="143">
        <f>C47-ABS(C49)</f>
        <v>21653000</v>
      </c>
      <c r="D62" s="143">
        <f t="shared" ref="D62:E62" si="23">D47-ABS(D49)</f>
        <v>17296000</v>
      </c>
      <c r="E62" s="143">
        <f t="shared" si="23"/>
        <v>6479000</v>
      </c>
      <c r="F62" s="144">
        <f t="shared" ref="F62:G62" si="24">IF(D62=0,0,(C62-D62)/ABS(D62))</f>
        <v>0.25190795559666973</v>
      </c>
      <c r="G62" s="145">
        <f t="shared" si="24"/>
        <v>1.6695477697175489</v>
      </c>
      <c r="H62" s="146"/>
      <c r="I62" s="147" t="s">
        <v>87</v>
      </c>
      <c r="J62" s="361" t="s">
        <v>237</v>
      </c>
    </row>
    <row r="63" spans="1:10" x14ac:dyDescent="0.15">
      <c r="A63" s="148" t="str">
        <f>A$36</f>
        <v>yahoo finance. (2020) Retrieved From: https://finance.yahoo.com/quote/AMZN/financials/</v>
      </c>
      <c r="B63" s="149"/>
      <c r="C63" s="149"/>
      <c r="D63" s="149"/>
      <c r="E63" s="149"/>
      <c r="F63" s="150"/>
      <c r="G63" s="151"/>
      <c r="H63" s="152"/>
      <c r="J63" s="361" t="s">
        <v>236</v>
      </c>
    </row>
    <row r="64" spans="1:10" s="100" customFormat="1" x14ac:dyDescent="0.15">
      <c r="A64" s="126" t="str">
        <f>A$4</f>
        <v>Amazon</v>
      </c>
      <c r="B64" s="127"/>
      <c r="C64" s="127"/>
      <c r="D64" s="127"/>
      <c r="E64" s="127"/>
      <c r="F64" s="128"/>
      <c r="G64" s="129"/>
      <c r="H64" s="153"/>
      <c r="J64" s="361" t="s">
        <v>235</v>
      </c>
    </row>
    <row r="65" spans="1:10" s="100" customFormat="1" x14ac:dyDescent="0.15">
      <c r="A65" s="130" t="s">
        <v>115</v>
      </c>
      <c r="B65" s="131"/>
      <c r="C65" s="131"/>
      <c r="D65" s="131"/>
      <c r="E65" s="131"/>
      <c r="F65" s="132"/>
      <c r="G65" s="133"/>
      <c r="H65" s="116"/>
      <c r="J65" s="361"/>
    </row>
    <row r="66" spans="1:10" x14ac:dyDescent="0.15">
      <c r="A66" s="134" t="str">
        <f>A$6</f>
        <v>Unaudited; Amounts USD x 1000</v>
      </c>
      <c r="B66" s="135"/>
      <c r="C66" s="135"/>
      <c r="D66" s="135"/>
      <c r="E66" s="135"/>
      <c r="F66" s="136"/>
      <c r="G66" s="137"/>
      <c r="H66" s="116"/>
      <c r="J66" s="361"/>
    </row>
    <row r="67" spans="1:10" x14ac:dyDescent="0.15">
      <c r="A67" s="401"/>
      <c r="B67" s="401"/>
      <c r="C67" s="402"/>
      <c r="D67" s="402" t="str">
        <f>A$7&amp;" "&amp;$D$7&amp;" "&amp;$E$7</f>
        <v>For Fiscal Years ending: dec 31</v>
      </c>
      <c r="E67" s="403"/>
      <c r="F67" s="403"/>
      <c r="G67" s="401"/>
      <c r="H67" s="107"/>
      <c r="J67" s="361"/>
    </row>
    <row r="68" spans="1:10" ht="14" x14ac:dyDescent="0.3">
      <c r="A68" s="112"/>
      <c r="B68" s="113"/>
      <c r="C68" s="113"/>
      <c r="D68" s="113"/>
      <c r="E68" s="113"/>
      <c r="F68" s="114" t="s">
        <v>90</v>
      </c>
      <c r="G68" s="115"/>
      <c r="H68" s="116"/>
      <c r="J68" s="361"/>
    </row>
    <row r="69" spans="1:10" s="100" customFormat="1" ht="15" customHeight="1" x14ac:dyDescent="0.3">
      <c r="A69" s="138"/>
      <c r="B69" s="139"/>
      <c r="C69" s="117">
        <f>C$9</f>
        <v>2019</v>
      </c>
      <c r="D69" s="117">
        <f t="shared" ref="D69:E69" si="25">D$9</f>
        <v>2018</v>
      </c>
      <c r="E69" s="117">
        <f t="shared" si="25"/>
        <v>2017</v>
      </c>
      <c r="F69" s="117">
        <f>C69</f>
        <v>2019</v>
      </c>
      <c r="G69" s="118">
        <f>D69</f>
        <v>2018</v>
      </c>
      <c r="H69" s="119"/>
      <c r="J69" s="361"/>
    </row>
    <row r="70" spans="1:10" ht="18" customHeight="1" x14ac:dyDescent="0.2">
      <c r="A70" s="112" t="s">
        <v>116</v>
      </c>
      <c r="B70" s="113"/>
      <c r="C70" s="440"/>
      <c r="D70" s="440"/>
      <c r="E70" s="440"/>
      <c r="G70" s="121"/>
      <c r="H70" s="116"/>
      <c r="J70" s="361"/>
    </row>
    <row r="71" spans="1:10" ht="17" x14ac:dyDescent="0.2">
      <c r="A71" s="112"/>
      <c r="B71" s="154" t="s">
        <v>242</v>
      </c>
      <c r="C71" s="123">
        <v>55021000</v>
      </c>
      <c r="D71" s="123">
        <v>41250000</v>
      </c>
      <c r="E71" s="440">
        <v>30986000</v>
      </c>
      <c r="F71" s="144">
        <f t="shared" ref="F71:G73" si="26">IF(D71=0,0,(C71-D71)/ABS(D71))</f>
        <v>0.33384242424242422</v>
      </c>
      <c r="G71" s="145">
        <f t="shared" si="26"/>
        <v>0.33124636932808366</v>
      </c>
      <c r="H71" s="116"/>
      <c r="I71" s="109" t="s">
        <v>87</v>
      </c>
      <c r="J71" s="361" t="s">
        <v>243</v>
      </c>
    </row>
    <row r="72" spans="1:10" ht="17" x14ac:dyDescent="0.2">
      <c r="A72" s="112"/>
      <c r="B72" s="154" t="s">
        <v>156</v>
      </c>
      <c r="C72" s="440">
        <v>20816000</v>
      </c>
      <c r="D72" s="440">
        <v>16677000</v>
      </c>
      <c r="E72" s="440">
        <v>13164000</v>
      </c>
      <c r="F72" s="144">
        <f t="shared" si="26"/>
        <v>0.24818612460274631</v>
      </c>
      <c r="G72" s="145" t="e">
        <f>IF(#REF!=0,0,(D72-#REF!)/ABS(#REF!))</f>
        <v>#REF!</v>
      </c>
      <c r="H72" s="146"/>
      <c r="J72" s="361"/>
    </row>
    <row r="73" spans="1:10" x14ac:dyDescent="0.15">
      <c r="A73" s="112"/>
      <c r="B73" s="154" t="s">
        <v>117</v>
      </c>
      <c r="C73" s="123">
        <v>225248000</v>
      </c>
      <c r="D73" s="123">
        <v>162648000</v>
      </c>
      <c r="E73" s="109">
        <v>13310000</v>
      </c>
      <c r="F73" s="144">
        <f t="shared" si="26"/>
        <v>0.3848802321577886</v>
      </c>
      <c r="G73" s="145" t="e">
        <f>IF(#REF!=0,0,(D73-#REF!)/ABS(#REF!))</f>
        <v>#REF!</v>
      </c>
      <c r="H73" s="146"/>
      <c r="I73" s="109" t="s">
        <v>87</v>
      </c>
      <c r="J73" s="361" t="s">
        <v>203</v>
      </c>
    </row>
    <row r="74" spans="1:10" x14ac:dyDescent="0.15">
      <c r="A74" s="112"/>
      <c r="B74" s="113"/>
      <c r="C74" s="113"/>
      <c r="D74" s="113"/>
      <c r="E74" s="113"/>
      <c r="G74" s="121"/>
      <c r="H74" s="116"/>
      <c r="J74" s="361"/>
    </row>
    <row r="75" spans="1:10" x14ac:dyDescent="0.15">
      <c r="A75" s="112" t="s">
        <v>118</v>
      </c>
      <c r="B75" s="113"/>
      <c r="C75" s="113"/>
      <c r="D75" s="113"/>
      <c r="E75" s="113"/>
      <c r="G75" s="121"/>
      <c r="H75" s="116"/>
      <c r="J75" s="361"/>
    </row>
    <row r="76" spans="1:10" x14ac:dyDescent="0.15">
      <c r="A76" s="112"/>
      <c r="B76" s="154" t="s">
        <v>119</v>
      </c>
      <c r="C76" s="123">
        <v>97846000</v>
      </c>
      <c r="D76" s="123">
        <v>61797000</v>
      </c>
      <c r="E76" s="123">
        <v>48866000</v>
      </c>
      <c r="F76" s="144">
        <f t="shared" ref="F76:G79" si="27">IF(D76=0,0,(C76-D76)/ABS(D76))</f>
        <v>0.5833454698448145</v>
      </c>
      <c r="G76" s="145">
        <f t="shared" si="27"/>
        <v>0.26462161830311465</v>
      </c>
      <c r="H76" s="146"/>
      <c r="I76" s="109" t="s">
        <v>87</v>
      </c>
      <c r="J76" s="361" t="s">
        <v>120</v>
      </c>
    </row>
    <row r="77" spans="1:10" ht="17" x14ac:dyDescent="0.2">
      <c r="A77" s="112"/>
      <c r="B77" s="154" t="s">
        <v>121</v>
      </c>
      <c r="C77" s="440">
        <v>128914000</v>
      </c>
      <c r="D77" s="440">
        <v>87547000</v>
      </c>
      <c r="E77" s="440">
        <v>71113000</v>
      </c>
      <c r="F77" s="144">
        <f t="shared" si="27"/>
        <v>0.4725119078894765</v>
      </c>
      <c r="G77" s="145">
        <f t="shared" si="27"/>
        <v>0.23109698648629645</v>
      </c>
      <c r="H77" s="146"/>
      <c r="I77" s="109" t="s">
        <v>87</v>
      </c>
      <c r="J77" s="361" t="s">
        <v>209</v>
      </c>
    </row>
    <row r="78" spans="1:10" ht="14" x14ac:dyDescent="0.3">
      <c r="A78" s="112"/>
      <c r="B78" s="113" t="s">
        <v>122</v>
      </c>
      <c r="C78" s="140">
        <v>128914000</v>
      </c>
      <c r="D78" s="140">
        <v>87547000</v>
      </c>
      <c r="E78" s="140">
        <v>71113000</v>
      </c>
      <c r="F78" s="144">
        <f t="shared" si="27"/>
        <v>0.4725119078894765</v>
      </c>
      <c r="G78" s="145">
        <f t="shared" si="27"/>
        <v>0.23109698648629645</v>
      </c>
      <c r="H78" s="146"/>
      <c r="J78" s="361"/>
    </row>
    <row r="79" spans="1:10" x14ac:dyDescent="0.15">
      <c r="A79" s="138" t="s">
        <v>123</v>
      </c>
      <c r="B79" s="113"/>
      <c r="C79" s="123">
        <v>225248000</v>
      </c>
      <c r="D79" s="123">
        <v>162648000</v>
      </c>
      <c r="E79" s="123">
        <v>131310000</v>
      </c>
      <c r="F79" s="144">
        <f t="shared" si="27"/>
        <v>0.3848802321577886</v>
      </c>
      <c r="G79" s="145">
        <f t="shared" si="27"/>
        <v>0.23865661411925976</v>
      </c>
      <c r="H79" s="146"/>
      <c r="I79" s="109" t="s">
        <v>87</v>
      </c>
      <c r="J79" s="361" t="s">
        <v>124</v>
      </c>
    </row>
    <row r="80" spans="1:10" x14ac:dyDescent="0.15">
      <c r="A80" s="112"/>
      <c r="B80" s="113"/>
      <c r="C80" s="113"/>
      <c r="D80" s="113"/>
      <c r="E80" s="113"/>
      <c r="G80" s="121"/>
      <c r="H80" s="116"/>
      <c r="J80" s="361"/>
    </row>
    <row r="81" spans="1:10" x14ac:dyDescent="0.15">
      <c r="A81" s="112" t="s">
        <v>125</v>
      </c>
      <c r="B81" s="113"/>
      <c r="C81" s="113"/>
      <c r="D81" s="113"/>
      <c r="E81" s="113"/>
      <c r="G81" s="121"/>
      <c r="H81" s="116"/>
      <c r="J81" s="361"/>
    </row>
    <row r="82" spans="1:10" x14ac:dyDescent="0.15">
      <c r="A82" s="112"/>
      <c r="B82" s="154" t="s">
        <v>126</v>
      </c>
      <c r="C82" s="123">
        <v>47183000</v>
      </c>
      <c r="D82" s="123">
        <v>38192000</v>
      </c>
      <c r="E82" s="123">
        <v>34616000</v>
      </c>
      <c r="F82" s="144">
        <f t="shared" ref="F82:G84" si="28">IF(D82=0,0,(C82-D82)/ABS(D82))</f>
        <v>0.23541579388353581</v>
      </c>
      <c r="G82" s="145">
        <f t="shared" si="28"/>
        <v>0.10330483013635314</v>
      </c>
      <c r="H82" s="146"/>
      <c r="I82" s="109" t="s">
        <v>87</v>
      </c>
      <c r="J82" s="361" t="s">
        <v>127</v>
      </c>
    </row>
    <row r="83" spans="1:10" ht="14" x14ac:dyDescent="0.3">
      <c r="A83" s="112"/>
      <c r="B83" s="154" t="s">
        <v>128</v>
      </c>
      <c r="C83" s="155">
        <f>C84-SUM(C82:C82)</f>
        <v>40629000</v>
      </c>
      <c r="D83" s="155">
        <f>D84-SUM(D82:D82)</f>
        <v>30199000</v>
      </c>
      <c r="E83" s="155">
        <f>E84-SUM(E82:E82)</f>
        <v>23267000</v>
      </c>
      <c r="F83" s="144">
        <f t="shared" si="28"/>
        <v>0.34537567469121494</v>
      </c>
      <c r="G83" s="145">
        <f t="shared" si="28"/>
        <v>0.2979326943740061</v>
      </c>
      <c r="H83" s="146"/>
      <c r="J83" s="361"/>
    </row>
    <row r="84" spans="1:10" x14ac:dyDescent="0.15">
      <c r="A84" s="112"/>
      <c r="B84" s="113" t="s">
        <v>129</v>
      </c>
      <c r="C84" s="123">
        <v>87812000</v>
      </c>
      <c r="D84" s="123">
        <v>68391000</v>
      </c>
      <c r="E84" s="123">
        <v>57883000</v>
      </c>
      <c r="F84" s="144">
        <f t="shared" si="28"/>
        <v>0.28397011302656783</v>
      </c>
      <c r="G84" s="145">
        <f t="shared" si="28"/>
        <v>0.18153862101135049</v>
      </c>
      <c r="H84" s="146"/>
      <c r="J84" s="361" t="s">
        <v>276</v>
      </c>
    </row>
    <row r="85" spans="1:10" x14ac:dyDescent="0.15">
      <c r="A85" s="112"/>
      <c r="B85" s="113"/>
      <c r="C85" s="113"/>
      <c r="D85" s="113"/>
      <c r="E85" s="113"/>
      <c r="G85" s="121"/>
      <c r="H85" s="116"/>
      <c r="J85" s="361"/>
    </row>
    <row r="86" spans="1:10" x14ac:dyDescent="0.15">
      <c r="A86" s="112" t="s">
        <v>130</v>
      </c>
      <c r="B86" s="113"/>
      <c r="C86" s="113"/>
      <c r="D86" s="113"/>
      <c r="E86" s="113"/>
      <c r="G86" s="121"/>
      <c r="H86" s="116"/>
      <c r="J86" s="361"/>
    </row>
    <row r="87" spans="1:10" x14ac:dyDescent="0.15">
      <c r="A87" s="112"/>
      <c r="B87" s="154" t="s">
        <v>131</v>
      </c>
      <c r="C87" s="123">
        <v>23414000</v>
      </c>
      <c r="D87" s="123">
        <v>23495000</v>
      </c>
      <c r="E87" s="123">
        <v>24743000</v>
      </c>
      <c r="F87" s="144">
        <f t="shared" ref="F87:G90" si="29">IF(D87=0,0,(C87-D87)/ABS(D87))</f>
        <v>-3.4475420302191957E-3</v>
      </c>
      <c r="G87" s="145">
        <f t="shared" si="29"/>
        <v>-5.0438507860809119E-2</v>
      </c>
      <c r="H87" s="146"/>
      <c r="J87" s="361"/>
    </row>
    <row r="88" spans="1:10" ht="14" x14ac:dyDescent="0.3">
      <c r="A88" s="112"/>
      <c r="B88" s="154" t="s">
        <v>244</v>
      </c>
      <c r="C88" s="155">
        <f>C89-SUM(C87:C87)</f>
        <v>51962000</v>
      </c>
      <c r="D88" s="155">
        <f>D89-SUM(D87:D87)</f>
        <v>27213000</v>
      </c>
      <c r="E88" s="155">
        <f>E89-SUM(E87:E87)</f>
        <v>20975000</v>
      </c>
      <c r="F88" s="144">
        <f t="shared" si="29"/>
        <v>0.90945503987065002</v>
      </c>
      <c r="G88" s="145">
        <f t="shared" si="29"/>
        <v>0.29740166865315854</v>
      </c>
      <c r="H88" s="146"/>
      <c r="J88" s="361"/>
    </row>
    <row r="89" spans="1:10" ht="14" x14ac:dyDescent="0.3">
      <c r="A89" s="112"/>
      <c r="B89" s="113" t="s">
        <v>132</v>
      </c>
      <c r="C89" s="140">
        <v>75376000</v>
      </c>
      <c r="D89" s="140">
        <v>50708000</v>
      </c>
      <c r="E89" s="140">
        <v>45718000</v>
      </c>
      <c r="F89" s="144">
        <f t="shared" si="29"/>
        <v>0.48647156267255659</v>
      </c>
      <c r="G89" s="145">
        <f t="shared" si="29"/>
        <v>0.10914738177523076</v>
      </c>
      <c r="H89" s="146"/>
      <c r="J89" s="361"/>
    </row>
    <row r="90" spans="1:10" x14ac:dyDescent="0.15">
      <c r="A90" s="138" t="s">
        <v>133</v>
      </c>
      <c r="B90" s="113"/>
      <c r="C90" s="123">
        <v>163188000</v>
      </c>
      <c r="D90" s="123">
        <v>119099000</v>
      </c>
      <c r="E90" s="123">
        <v>103601000</v>
      </c>
      <c r="F90" s="144">
        <f t="shared" si="29"/>
        <v>0.37018782693389535</v>
      </c>
      <c r="G90" s="145">
        <f t="shared" si="29"/>
        <v>0.14959315064526404</v>
      </c>
      <c r="H90" s="146"/>
      <c r="I90" s="109" t="s">
        <v>87</v>
      </c>
      <c r="J90" s="361" t="s">
        <v>245</v>
      </c>
    </row>
    <row r="91" spans="1:10" x14ac:dyDescent="0.15">
      <c r="A91" s="112"/>
      <c r="B91" s="113"/>
      <c r="C91" s="113"/>
      <c r="D91" s="113"/>
      <c r="E91" s="113"/>
      <c r="G91" s="121"/>
      <c r="H91" s="116"/>
      <c r="J91" s="361"/>
    </row>
    <row r="92" spans="1:10" x14ac:dyDescent="0.15">
      <c r="A92" s="112" t="s">
        <v>259</v>
      </c>
      <c r="B92" s="113"/>
      <c r="C92" s="113"/>
      <c r="D92" s="113"/>
      <c r="E92" s="113"/>
      <c r="G92" s="121"/>
      <c r="H92" s="116"/>
      <c r="J92" s="361" t="s">
        <v>274</v>
      </c>
    </row>
    <row r="93" spans="1:10" ht="13.5" customHeight="1" x14ac:dyDescent="0.15">
      <c r="A93" s="112"/>
      <c r="B93" s="113" t="s">
        <v>134</v>
      </c>
      <c r="C93" s="175">
        <v>5000</v>
      </c>
      <c r="D93" s="175">
        <v>5000</v>
      </c>
      <c r="E93" s="175">
        <v>5000</v>
      </c>
      <c r="F93" s="156"/>
      <c r="G93" s="157"/>
      <c r="H93" s="158"/>
      <c r="J93" s="361"/>
    </row>
    <row r="94" spans="1:10" x14ac:dyDescent="0.15">
      <c r="A94" s="112"/>
      <c r="B94" s="113" t="s">
        <v>67</v>
      </c>
      <c r="C94" s="175">
        <v>33658000</v>
      </c>
      <c r="D94" s="175">
        <v>26791000</v>
      </c>
      <c r="E94" s="175">
        <v>21389000</v>
      </c>
      <c r="F94" s="156"/>
      <c r="G94" s="157"/>
      <c r="H94" s="158"/>
      <c r="J94" s="361"/>
    </row>
    <row r="95" spans="1:10" x14ac:dyDescent="0.15">
      <c r="A95" s="112"/>
      <c r="B95" s="113" t="s">
        <v>8</v>
      </c>
      <c r="C95" s="175">
        <v>31220000</v>
      </c>
      <c r="D95" s="175">
        <v>19625000</v>
      </c>
      <c r="E95" s="175">
        <v>8636000</v>
      </c>
      <c r="F95" s="156"/>
      <c r="G95" s="157"/>
      <c r="H95" s="158"/>
      <c r="J95" s="361"/>
    </row>
    <row r="96" spans="1:10" ht="14" x14ac:dyDescent="0.3">
      <c r="A96" s="112"/>
      <c r="B96" s="113" t="s">
        <v>246</v>
      </c>
      <c r="C96" s="155">
        <f>C97-SUM(C93:C95)</f>
        <v>-2823000</v>
      </c>
      <c r="D96" s="155">
        <f t="shared" ref="D96:E96" si="30">D97-SUM(D93:D95)</f>
        <v>-2872000</v>
      </c>
      <c r="E96" s="155">
        <f t="shared" si="30"/>
        <v>-2321000</v>
      </c>
      <c r="F96" s="156"/>
      <c r="G96" s="157"/>
      <c r="H96" s="158"/>
      <c r="J96" s="361"/>
    </row>
    <row r="97" spans="1:10" x14ac:dyDescent="0.15">
      <c r="A97" s="112"/>
      <c r="B97" s="139" t="s">
        <v>260</v>
      </c>
      <c r="C97" s="113">
        <f>C79-C90</f>
        <v>62060000</v>
      </c>
      <c r="D97" s="113">
        <f>D79-D90</f>
        <v>43549000</v>
      </c>
      <c r="E97" s="113">
        <f>E79-E90</f>
        <v>27709000</v>
      </c>
      <c r="G97" s="121"/>
      <c r="H97" s="116"/>
      <c r="I97" s="109" t="s">
        <v>87</v>
      </c>
      <c r="J97" s="392" t="s">
        <v>256</v>
      </c>
    </row>
    <row r="98" spans="1:10" x14ac:dyDescent="0.15">
      <c r="A98" s="112"/>
      <c r="B98" s="139"/>
      <c r="C98" s="113"/>
      <c r="D98" s="113"/>
      <c r="E98" s="113"/>
      <c r="G98" s="121"/>
      <c r="H98" s="116"/>
      <c r="J98" s="392"/>
    </row>
    <row r="99" spans="1:10" x14ac:dyDescent="0.15">
      <c r="A99" s="139" t="s">
        <v>257</v>
      </c>
      <c r="B99" s="139"/>
      <c r="C99" s="113">
        <f>C90+C97</f>
        <v>225248000</v>
      </c>
      <c r="D99" s="113">
        <f t="shared" ref="D99:E99" si="31">D90+D97</f>
        <v>162648000</v>
      </c>
      <c r="E99" s="113">
        <f t="shared" si="31"/>
        <v>131310000</v>
      </c>
      <c r="G99" s="121"/>
      <c r="H99" s="116"/>
      <c r="I99" s="109" t="s">
        <v>87</v>
      </c>
      <c r="J99" s="392" t="s">
        <v>258</v>
      </c>
    </row>
    <row r="100" spans="1:10" x14ac:dyDescent="0.15">
      <c r="A100" s="112"/>
      <c r="B100" s="113"/>
      <c r="C100" s="113"/>
      <c r="D100" s="113"/>
      <c r="E100" s="113"/>
      <c r="G100" s="121"/>
      <c r="H100" s="116"/>
      <c r="J100" s="361"/>
    </row>
    <row r="101" spans="1:10" x14ac:dyDescent="0.15">
      <c r="A101" s="148" t="str">
        <f>A$36</f>
        <v>yahoo finance. (2020) Retrieved From: https://finance.yahoo.com/quote/AMZN/financials/</v>
      </c>
      <c r="B101" s="149"/>
      <c r="C101" s="149"/>
      <c r="D101" s="149"/>
      <c r="E101" s="149"/>
      <c r="F101" s="150"/>
      <c r="G101" s="151"/>
      <c r="H101" s="152"/>
      <c r="J101" s="361"/>
    </row>
    <row r="102" spans="1:10" s="100" customFormat="1" x14ac:dyDescent="0.15">
      <c r="A102" s="126" t="str">
        <f>A$4</f>
        <v>Amazon</v>
      </c>
      <c r="B102" s="127"/>
      <c r="C102" s="127"/>
      <c r="D102" s="127"/>
      <c r="E102" s="127"/>
      <c r="F102" s="128"/>
      <c r="G102" s="129"/>
      <c r="H102" s="153"/>
      <c r="J102" s="361"/>
    </row>
    <row r="103" spans="1:10" s="100" customFormat="1" x14ac:dyDescent="0.15">
      <c r="A103" s="130" t="s">
        <v>135</v>
      </c>
      <c r="B103" s="131"/>
      <c r="C103" s="131"/>
      <c r="D103" s="131"/>
      <c r="E103" s="131"/>
      <c r="F103" s="132"/>
      <c r="G103" s="133"/>
      <c r="H103" s="116"/>
      <c r="J103" s="361"/>
    </row>
    <row r="104" spans="1:10" x14ac:dyDescent="0.15">
      <c r="A104" s="134" t="str">
        <f>A$6</f>
        <v>Unaudited; Amounts USD x 1000</v>
      </c>
      <c r="B104" s="135"/>
      <c r="C104" s="135"/>
      <c r="D104" s="135"/>
      <c r="E104" s="135"/>
      <c r="F104" s="136"/>
      <c r="G104" s="137"/>
      <c r="H104" s="116"/>
      <c r="J104" s="361"/>
    </row>
    <row r="105" spans="1:10" x14ac:dyDescent="0.15">
      <c r="A105" s="134" t="str">
        <f>A$7&amp;" "&amp;$D$7&amp;" "&amp;$E$7</f>
        <v>For Fiscal Years ending: dec 31</v>
      </c>
      <c r="B105" s="135"/>
      <c r="C105" s="135"/>
      <c r="D105" s="135"/>
      <c r="E105" s="135"/>
      <c r="F105" s="136"/>
      <c r="G105" s="137"/>
      <c r="H105" s="107"/>
      <c r="J105" s="361"/>
    </row>
    <row r="106" spans="1:10" ht="14" x14ac:dyDescent="0.3">
      <c r="A106" s="112"/>
      <c r="B106" s="113"/>
      <c r="C106" s="113"/>
      <c r="D106" s="113"/>
      <c r="E106" s="113"/>
      <c r="F106" s="114" t="s">
        <v>90</v>
      </c>
      <c r="G106" s="115"/>
      <c r="H106" s="116"/>
      <c r="J106" s="361"/>
    </row>
    <row r="107" spans="1:10" s="100" customFormat="1" ht="12.75" customHeight="1" x14ac:dyDescent="0.3">
      <c r="A107" s="138"/>
      <c r="B107" s="139"/>
      <c r="C107" s="117">
        <f>C$9</f>
        <v>2019</v>
      </c>
      <c r="D107" s="117">
        <f t="shared" ref="D107:E107" si="32">D$9</f>
        <v>2018</v>
      </c>
      <c r="E107" s="117">
        <f t="shared" si="32"/>
        <v>2017</v>
      </c>
      <c r="F107" s="117">
        <f>C107</f>
        <v>2019</v>
      </c>
      <c r="G107" s="118">
        <f>D107</f>
        <v>2018</v>
      </c>
      <c r="H107" s="119"/>
      <c r="J107" s="361"/>
    </row>
    <row r="108" spans="1:10" x14ac:dyDescent="0.15">
      <c r="A108" s="112" t="s">
        <v>136</v>
      </c>
      <c r="B108" s="113"/>
      <c r="C108" s="113"/>
      <c r="D108" s="113"/>
      <c r="E108" s="113"/>
      <c r="G108" s="121"/>
      <c r="H108" s="116"/>
      <c r="J108" s="361"/>
    </row>
    <row r="109" spans="1:10" x14ac:dyDescent="0.15">
      <c r="A109" s="112"/>
      <c r="B109" s="113" t="s">
        <v>137</v>
      </c>
      <c r="C109" s="159">
        <f>IF($C29=0,0,$C32/$C29)</f>
        <v>503391828.99500078</v>
      </c>
      <c r="D109" s="159">
        <f>IF($D29=0,0,$D32/$D29)</f>
        <v>500447138.31478542</v>
      </c>
      <c r="E109" s="159">
        <f>IF($E29=0,0,$E32/$E29)</f>
        <v>492350675.00823182</v>
      </c>
      <c r="F109" s="144">
        <f t="shared" ref="F109:G113" si="33">IF(D109=0,0,(C109-D109)/ABS(D109))</f>
        <v>5.884119330028267E-3</v>
      </c>
      <c r="G109" s="145">
        <f t="shared" si="33"/>
        <v>1.6444505344525493E-2</v>
      </c>
      <c r="H109" s="146"/>
      <c r="I109" s="109" t="s">
        <v>87</v>
      </c>
      <c r="J109" s="361" t="s">
        <v>249</v>
      </c>
    </row>
    <row r="110" spans="1:10" x14ac:dyDescent="0.15">
      <c r="A110" s="112"/>
      <c r="B110" s="113" t="s">
        <v>250</v>
      </c>
      <c r="C110" s="409">
        <f>IF(C$79=0,0,C$90/C$79)</f>
        <v>0.72448146043472084</v>
      </c>
      <c r="D110" s="409">
        <f t="shared" ref="D110:E110" si="34">IF(D$79=0,0,D$90/D$79)</f>
        <v>0.732250012296493</v>
      </c>
      <c r="E110" s="409">
        <f t="shared" si="34"/>
        <v>0.78898027568349705</v>
      </c>
      <c r="F110" s="144">
        <f t="shared" ref="F110" si="35">IF(D110=0,0,(C110-D110)/ABS(D110))</f>
        <v>-1.060915224488467E-2</v>
      </c>
      <c r="G110" s="145">
        <f t="shared" ref="G110" si="36">IF(E110=0,0,(D110-E110)/ABS(E110))</f>
        <v>-7.1903272027755538E-2</v>
      </c>
      <c r="H110" s="146"/>
      <c r="I110" s="109" t="s">
        <v>87</v>
      </c>
      <c r="J110" s="361" t="s">
        <v>251</v>
      </c>
    </row>
    <row r="111" spans="1:10" x14ac:dyDescent="0.15">
      <c r="A111" s="112"/>
      <c r="B111" s="113" t="s">
        <v>247</v>
      </c>
      <c r="C111" s="159">
        <f>IF($C97=0,0,$C90/$C97)</f>
        <v>2.6295198195294875</v>
      </c>
      <c r="D111" s="159">
        <f>IF($D97=0,0,$D90/$D97)</f>
        <v>2.734827435762015</v>
      </c>
      <c r="E111" s="159">
        <f>IF($E97=0,0,$E90/$E97)</f>
        <v>3.7388935003067596</v>
      </c>
      <c r="F111" s="144">
        <f t="shared" si="33"/>
        <v>-3.8506128341214786E-2</v>
      </c>
      <c r="G111" s="145">
        <f t="shared" si="33"/>
        <v>-0.26854631309032079</v>
      </c>
      <c r="H111" s="146"/>
      <c r="I111" s="109" t="s">
        <v>87</v>
      </c>
      <c r="J111" s="361" t="s">
        <v>254</v>
      </c>
    </row>
    <row r="112" spans="1:10" x14ac:dyDescent="0.15">
      <c r="A112" s="112"/>
      <c r="B112" s="113" t="s">
        <v>138</v>
      </c>
      <c r="C112" s="120">
        <f>IF($C97=0,0,$C26/$C97)</f>
        <v>0.18694811472768288</v>
      </c>
      <c r="D112" s="120">
        <f>IF($D97=0,0,$D26/$D97)</f>
        <v>0.23109600679694137</v>
      </c>
      <c r="E112" s="120">
        <f>IF($E97=0,0,$E26/$E97)</f>
        <v>0.10960337796383847</v>
      </c>
      <c r="F112" s="144">
        <f t="shared" si="33"/>
        <v>-0.19103701825557806</v>
      </c>
      <c r="G112" s="145">
        <f t="shared" si="33"/>
        <v>1.1084752230281356</v>
      </c>
      <c r="H112" s="146"/>
      <c r="I112" s="109" t="s">
        <v>87</v>
      </c>
      <c r="J112" s="361" t="s">
        <v>255</v>
      </c>
    </row>
    <row r="113" spans="1:10" x14ac:dyDescent="0.15">
      <c r="A113" s="112"/>
      <c r="B113" s="113" t="s">
        <v>139</v>
      </c>
      <c r="C113" s="120">
        <f>IF($C79=0,0,($C26/$C79))</f>
        <v>5.1507671544253446E-2</v>
      </c>
      <c r="D113" s="120">
        <f>IF($D79=0,0,($D26/$D79))</f>
        <v>6.1875952978210615E-2</v>
      </c>
      <c r="E113" s="120">
        <f>IF($E79=0,0,($E26/$E79))</f>
        <v>2.3128474602086665E-2</v>
      </c>
      <c r="F113" s="144">
        <f t="shared" si="33"/>
        <v>-0.16756560400141748</v>
      </c>
      <c r="G113" s="145">
        <f t="shared" si="33"/>
        <v>1.6753149112837789</v>
      </c>
      <c r="H113" s="146"/>
      <c r="I113" s="109" t="s">
        <v>87</v>
      </c>
      <c r="J113" s="361" t="s">
        <v>207</v>
      </c>
    </row>
    <row r="114" spans="1:10" x14ac:dyDescent="0.15">
      <c r="A114" s="112"/>
      <c r="B114" s="113" t="s">
        <v>140</v>
      </c>
      <c r="C114" s="120">
        <f>IF($C10=0,0,$C26/$C10)</f>
        <v>4.1358610019891488E-2</v>
      </c>
      <c r="D114" s="120">
        <f>IF($D10=0,0,$D26/$D10)</f>
        <v>4.3214090953981973E-2</v>
      </c>
      <c r="E114" s="120">
        <f>IF($E10=0,0,$E26/$E10)</f>
        <v>1.7074651704091844E-2</v>
      </c>
      <c r="F114" s="144">
        <f>IF(D114=0,0,(C114-D114)/ABS(D114))</f>
        <v>-4.2936942398403302E-2</v>
      </c>
      <c r="G114" s="145">
        <f>IF(E114=0,0,(D114-E114)/ABS(E114))</f>
        <v>1.5308915053081851</v>
      </c>
      <c r="H114" s="146"/>
      <c r="I114" s="109" t="s">
        <v>87</v>
      </c>
      <c r="J114" s="361" t="s">
        <v>206</v>
      </c>
    </row>
    <row r="115" spans="1:10" x14ac:dyDescent="0.15">
      <c r="A115" s="112"/>
      <c r="B115" s="113" t="s">
        <v>141</v>
      </c>
      <c r="C115" s="113">
        <f>C62</f>
        <v>21653000</v>
      </c>
      <c r="D115" s="113">
        <f t="shared" ref="D115:E115" si="37">D62</f>
        <v>17296000</v>
      </c>
      <c r="E115" s="113">
        <f t="shared" si="37"/>
        <v>6479000</v>
      </c>
      <c r="F115" s="144">
        <f>IF(D115=0,0,(C115-D115)/ABS(D115))</f>
        <v>0.25190795559666973</v>
      </c>
      <c r="G115" s="145">
        <f>IF(E115=0,0,(D115-E115)/ABS(E115))</f>
        <v>1.6695477697175489</v>
      </c>
      <c r="H115" s="146"/>
      <c r="I115" s="109" t="s">
        <v>87</v>
      </c>
      <c r="J115" s="361" t="s">
        <v>264</v>
      </c>
    </row>
    <row r="116" spans="1:10" x14ac:dyDescent="0.15">
      <c r="A116" s="112"/>
      <c r="B116" s="113"/>
      <c r="C116" s="159"/>
      <c r="D116" s="159"/>
      <c r="E116" s="159"/>
      <c r="F116" s="144"/>
      <c r="G116" s="145"/>
      <c r="H116" s="146"/>
      <c r="J116" s="361"/>
    </row>
    <row r="117" spans="1:10" x14ac:dyDescent="0.15">
      <c r="A117" s="112" t="s">
        <v>142</v>
      </c>
      <c r="B117" s="113"/>
      <c r="C117" s="159"/>
      <c r="D117" s="159"/>
      <c r="E117" s="159"/>
      <c r="F117" s="144"/>
      <c r="G117" s="145"/>
      <c r="H117" s="146"/>
      <c r="J117" s="361"/>
    </row>
    <row r="118" spans="1:10" x14ac:dyDescent="0.15">
      <c r="A118" s="112"/>
      <c r="B118" s="113" t="s">
        <v>143</v>
      </c>
      <c r="C118" s="160">
        <f>IF($C28=0,0,$C26/$C28)</f>
        <v>1.0012081463583018</v>
      </c>
      <c r="D118" s="160">
        <f>IF($D28=0,0,$D26/$D28)</f>
        <v>0.99910652238657793</v>
      </c>
      <c r="E118" s="160">
        <f>IF($E28=0,0,$E26/$E28)</f>
        <v>1.0013188262446422</v>
      </c>
      <c r="F118" s="144">
        <f>IF(D118=0,0,(C118-D118)/ABS(D118))</f>
        <v>2.1035034049259231E-3</v>
      </c>
      <c r="G118" s="145">
        <f>IF(E118=0,0,(D118-E118)/ABS(E118))</f>
        <v>-2.209390056473129E-3</v>
      </c>
      <c r="H118" s="146"/>
      <c r="I118" s="109" t="s">
        <v>87</v>
      </c>
      <c r="J118" s="361" t="s">
        <v>204</v>
      </c>
    </row>
    <row r="119" spans="1:10" x14ac:dyDescent="0.15">
      <c r="A119" s="112"/>
      <c r="B119" s="113" t="s">
        <v>144</v>
      </c>
      <c r="C119" s="159">
        <f>IF($C84=0,0,$C73/$C84)</f>
        <v>2.5651163850043273</v>
      </c>
      <c r="D119" s="159">
        <f>IF($D84=0,0,$D73/$D84)</f>
        <v>2.378207658902487</v>
      </c>
      <c r="E119" s="159" t="e">
        <f>IF($E84=0,0,#REF!/$E84)</f>
        <v>#REF!</v>
      </c>
      <c r="F119" s="144">
        <f t="shared" ref="F119:G119" si="38">IF(D119=0,0,(C119-D119)/ABS(D119))</f>
        <v>7.8592264810086562E-2</v>
      </c>
      <c r="G119" s="145" t="e">
        <f t="shared" si="38"/>
        <v>#REF!</v>
      </c>
      <c r="H119" s="146"/>
      <c r="I119" s="109" t="s">
        <v>87</v>
      </c>
      <c r="J119" s="361" t="s">
        <v>205</v>
      </c>
    </row>
    <row r="120" spans="1:10" x14ac:dyDescent="0.15">
      <c r="A120" s="112"/>
      <c r="B120" s="113"/>
      <c r="C120" s="159"/>
      <c r="D120" s="159"/>
      <c r="E120" s="159"/>
      <c r="G120" s="121"/>
      <c r="H120" s="116"/>
      <c r="J120" s="361"/>
    </row>
    <row r="121" spans="1:10" x14ac:dyDescent="0.15">
      <c r="A121" s="112" t="s">
        <v>145</v>
      </c>
      <c r="B121" s="113"/>
      <c r="C121" s="113"/>
      <c r="D121" s="113"/>
      <c r="E121" s="113"/>
      <c r="G121" s="121"/>
      <c r="H121" s="116"/>
      <c r="J121" s="361"/>
    </row>
    <row r="122" spans="1:10" x14ac:dyDescent="0.15">
      <c r="A122" s="112"/>
      <c r="B122" s="113" t="str">
        <f>"Adjusted Close Price on or near "&amp;$D$7&amp;" "&amp;$E$7</f>
        <v>Adjusted Close Price on or near dec 31</v>
      </c>
      <c r="C122" s="154">
        <f>C$32</f>
        <v>504000000</v>
      </c>
      <c r="D122" s="154">
        <f t="shared" ref="D122:E122" si="39">D$32</f>
        <v>500000000</v>
      </c>
      <c r="E122" s="154">
        <f t="shared" si="39"/>
        <v>493000000</v>
      </c>
      <c r="F122" s="144">
        <f t="shared" ref="F122:G122" si="40">IF(D122=0,0,(C122-D122)/ABS(D122))</f>
        <v>8.0000000000000002E-3</v>
      </c>
      <c r="G122" s="145">
        <f t="shared" si="40"/>
        <v>1.4198782961460446E-2</v>
      </c>
      <c r="H122" s="146"/>
      <c r="I122" s="109" t="s">
        <v>87</v>
      </c>
      <c r="J122" s="361" t="s">
        <v>275</v>
      </c>
    </row>
    <row r="123" spans="1:10" x14ac:dyDescent="0.15">
      <c r="A123" s="112"/>
      <c r="B123" s="113"/>
      <c r="C123" s="161"/>
      <c r="D123" s="113"/>
      <c r="E123" s="113"/>
      <c r="G123" s="121"/>
      <c r="H123" s="116"/>
      <c r="J123" s="361"/>
    </row>
    <row r="124" spans="1:10" ht="14" x14ac:dyDescent="0.3">
      <c r="A124" s="362" t="s">
        <v>146</v>
      </c>
      <c r="B124" s="162"/>
      <c r="C124" s="163">
        <f>D124-1</f>
        <v>2016</v>
      </c>
      <c r="D124" s="163">
        <f>$E$107</f>
        <v>2017</v>
      </c>
      <c r="E124" s="163">
        <f>D124+1</f>
        <v>2018</v>
      </c>
      <c r="F124" s="163">
        <f>E124+1</f>
        <v>2019</v>
      </c>
      <c r="G124" s="164" t="s">
        <v>147</v>
      </c>
      <c r="H124" s="116"/>
      <c r="I124" s="109" t="s">
        <v>87</v>
      </c>
      <c r="J124" s="361" t="s">
        <v>210</v>
      </c>
    </row>
    <row r="125" spans="1:10" x14ac:dyDescent="0.15">
      <c r="A125" s="112"/>
      <c r="B125" s="113" t="s">
        <v>241</v>
      </c>
      <c r="C125" s="123">
        <v>749.87</v>
      </c>
      <c r="D125" s="165">
        <v>1169.47</v>
      </c>
      <c r="E125" s="165">
        <v>1501.97</v>
      </c>
      <c r="F125" s="113">
        <v>1847.84</v>
      </c>
      <c r="G125" s="355">
        <f>IF(C125=0,0,(F125-C125)/C125)</f>
        <v>1.4642137970581566</v>
      </c>
      <c r="H125" s="116"/>
      <c r="I125" s="109" t="s">
        <v>87</v>
      </c>
      <c r="J125" s="361" t="s">
        <v>263</v>
      </c>
    </row>
    <row r="126" spans="1:10" x14ac:dyDescent="0.15">
      <c r="A126" s="112"/>
      <c r="B126" s="113" t="s">
        <v>148</v>
      </c>
      <c r="C126" s="165">
        <v>4.9000000000000004</v>
      </c>
      <c r="D126" s="354">
        <v>6.15</v>
      </c>
      <c r="E126" s="354">
        <v>20.14</v>
      </c>
      <c r="F126" s="354">
        <v>23.01</v>
      </c>
      <c r="G126" s="356"/>
      <c r="H126" s="116"/>
      <c r="I126" s="109" t="s">
        <v>87</v>
      </c>
      <c r="J126" s="361" t="s">
        <v>149</v>
      </c>
    </row>
    <row r="127" spans="1:10" x14ac:dyDescent="0.15">
      <c r="A127" s="112"/>
      <c r="B127" s="113" t="str">
        <f>"If you buy 1 share at end of fiscal "&amp;C124&amp;", collect dividends, then sell at end of fiscal "&amp;$F$124&amp;", your 3-year percent gain would be:"</f>
        <v>If you buy 1 share at end of fiscal 2016, collect dividends, then sell at end of fiscal 2019, your 3-year percent gain would be:</v>
      </c>
      <c r="C127" s="113"/>
      <c r="D127" s="113"/>
      <c r="E127" s="113"/>
      <c r="F127" s="113"/>
      <c r="G127" s="355">
        <f>IF(C125=0,0,($F$125+SUM(D126:F126)-C125)/C125)</f>
        <v>1.5299585261445316</v>
      </c>
      <c r="H127" s="116"/>
      <c r="I127" s="109" t="s">
        <v>87</v>
      </c>
      <c r="J127" s="361" t="s">
        <v>150</v>
      </c>
    </row>
    <row r="128" spans="1:10" x14ac:dyDescent="0.15">
      <c r="A128" s="112"/>
      <c r="B128" s="113"/>
      <c r="C128" s="113"/>
      <c r="D128" s="113"/>
      <c r="E128" s="113"/>
      <c r="F128" s="113"/>
      <c r="G128" s="121"/>
      <c r="H128" s="116"/>
      <c r="J128" s="361"/>
    </row>
    <row r="129" spans="1:10" x14ac:dyDescent="0.15">
      <c r="A129" s="138" t="s">
        <v>151</v>
      </c>
      <c r="B129" s="113"/>
      <c r="C129" s="113"/>
      <c r="D129" s="113"/>
      <c r="E129" s="113"/>
      <c r="F129" s="113"/>
      <c r="G129" s="121"/>
      <c r="H129" s="116"/>
      <c r="J129" s="361"/>
    </row>
    <row r="130" spans="1:10" x14ac:dyDescent="0.15">
      <c r="A130" s="112"/>
      <c r="B130" s="113" t="s">
        <v>152</v>
      </c>
      <c r="C130" s="154">
        <f>-C125</f>
        <v>-749.87</v>
      </c>
      <c r="D130" s="154">
        <f>D126</f>
        <v>6.15</v>
      </c>
      <c r="E130" s="154">
        <f>E126</f>
        <v>20.14</v>
      </c>
      <c r="F130" s="154">
        <f>SUM(F125:F126)</f>
        <v>1870.85</v>
      </c>
      <c r="G130" s="166"/>
      <c r="H130" s="116"/>
      <c r="I130" s="109" t="s">
        <v>87</v>
      </c>
      <c r="J130" s="361" t="s">
        <v>208</v>
      </c>
    </row>
    <row r="131" spans="1:10" x14ac:dyDescent="0.15">
      <c r="A131" s="112"/>
      <c r="B131" s="113" t="s">
        <v>153</v>
      </c>
      <c r="C131" s="154"/>
      <c r="D131" s="154"/>
      <c r="E131" s="154"/>
      <c r="F131" s="357">
        <f>IRR(C130:F130)</f>
        <v>0.36563850181610436</v>
      </c>
      <c r="G131" s="121"/>
      <c r="H131" s="116"/>
      <c r="I131" s="109" t="s">
        <v>87</v>
      </c>
      <c r="J131" s="361" t="s">
        <v>154</v>
      </c>
    </row>
    <row r="132" spans="1:10" x14ac:dyDescent="0.15">
      <c r="A132" s="112"/>
      <c r="B132" s="113"/>
      <c r="C132" s="154"/>
      <c r="D132" s="154"/>
      <c r="E132" s="154"/>
      <c r="F132" s="357"/>
      <c r="G132" s="121"/>
      <c r="H132" s="116"/>
      <c r="J132" s="361"/>
    </row>
    <row r="133" spans="1:10" x14ac:dyDescent="0.15">
      <c r="A133" s="112"/>
      <c r="B133" s="113"/>
      <c r="C133" s="161"/>
      <c r="D133" s="418"/>
      <c r="E133" s="418"/>
      <c r="G133" s="121"/>
      <c r="H133" s="116"/>
      <c r="J133" s="361"/>
    </row>
    <row r="134" spans="1:10" x14ac:dyDescent="0.15">
      <c r="A134" s="148" t="str">
        <f>A$101</f>
        <v>yahoo finance. (2020) Retrieved From: https://finance.yahoo.com/quote/AMZN/financials/</v>
      </c>
      <c r="B134" s="149"/>
      <c r="C134" s="149"/>
      <c r="D134" s="149"/>
      <c r="E134" s="149"/>
      <c r="F134" s="150"/>
      <c r="G134" s="151"/>
      <c r="H134" s="152"/>
      <c r="J134" s="361"/>
    </row>
    <row r="138" spans="1:10" x14ac:dyDescent="0.15">
      <c r="B138" s="415"/>
    </row>
    <row r="139" spans="1:10" x14ac:dyDescent="0.15">
      <c r="B139" s="415"/>
      <c r="F139" s="417"/>
    </row>
    <row r="140" spans="1:10" x14ac:dyDescent="0.15">
      <c r="B140" s="415"/>
    </row>
    <row r="141" spans="1:10" x14ac:dyDescent="0.15">
      <c r="B141" s="415"/>
    </row>
    <row r="142" spans="1:10" x14ac:dyDescent="0.15">
      <c r="B142" s="415"/>
      <c r="C142" s="416"/>
    </row>
  </sheetData>
  <mergeCells count="4">
    <mergeCell ref="A4:G4"/>
    <mergeCell ref="A6:G6"/>
    <mergeCell ref="A7:C7"/>
    <mergeCell ref="A36:G36"/>
  </mergeCells>
  <dataValidations count="3">
    <dataValidation type="whole" allowBlank="1" showErrorMessage="1" errorTitle="Year" error="Must be a year number, e.g. 2016." sqref="C9" xr:uid="{00000000-0002-0000-0000-000000000000}">
      <formula1>1900</formula1>
      <formula2>2100</formula2>
    </dataValidation>
    <dataValidation type="whole" allowBlank="1" showInputMessage="1" showErrorMessage="1" error="Must be a whole number from 1 to 31." promptTitle="Day of Month" prompt="Whole number from 1 to 31." sqref="E7" xr:uid="{00000000-0002-0000-0000-000001000000}">
      <formula1>1</formula1>
      <formula2>31</formula2>
    </dataValidation>
    <dataValidation type="textLength" allowBlank="1" showInputMessage="1" showErrorMessage="1" error="Enter Jan, Feb, Mar, etc." promptTitle="Month" prompt="Enter Jan, Feb, Mar, etc." sqref="D7" xr:uid="{00000000-0002-0000-0000-000002000000}">
      <formula1>3</formula1>
      <formula2>7</formula2>
    </dataValidation>
  </dataValidations>
  <printOptions horizontalCentered="1"/>
  <pageMargins left="0.25" right="0.25" top="0.75" bottom="0.75" header="0.3" footer="0.3"/>
  <pageSetup orientation="landscape" r:id="rId1"/>
  <headerFooter>
    <oddFooter>&amp;L&amp;F&amp;CPrinted &amp;D&amp;RPage &amp;P of &amp;N</oddFooter>
  </headerFooter>
  <rowBreaks count="3" manualBreakCount="3">
    <brk id="36" max="6" man="1"/>
    <brk id="63" max="6" man="1"/>
    <brk id="101" max="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workbookViewId="0">
      <pane ySplit="2" topLeftCell="A3" activePane="bottomLeft" state="frozen"/>
      <selection activeCell="F38" sqref="F38"/>
      <selection pane="bottomLeft" activeCell="A17" sqref="A17"/>
    </sheetView>
  </sheetViews>
  <sheetFormatPr baseColWidth="10" defaultColWidth="8.83203125" defaultRowHeight="11" x14ac:dyDescent="0.15"/>
  <cols>
    <col min="1" max="1" width="3.6640625" style="16" customWidth="1"/>
    <col min="2" max="2" width="30.6640625" style="16" customWidth="1"/>
    <col min="3" max="3" width="16" style="16" customWidth="1"/>
    <col min="4" max="7" width="10.6640625" style="16" customWidth="1"/>
    <col min="8" max="8" width="14.33203125" style="16" customWidth="1"/>
    <col min="9" max="10" width="10.6640625" style="16" customWidth="1"/>
    <col min="11" max="16384" width="8.83203125" style="16"/>
  </cols>
  <sheetData>
    <row r="1" spans="1:10" s="363" customFormat="1" ht="18" x14ac:dyDescent="0.2">
      <c r="A1" s="367" t="s">
        <v>211</v>
      </c>
      <c r="B1" s="366"/>
    </row>
    <row r="2" spans="1:10" s="365" customFormat="1" ht="14" x14ac:dyDescent="0.15">
      <c r="A2" s="364"/>
      <c r="B2" s="364"/>
      <c r="C2" s="364"/>
      <c r="D2" s="364"/>
      <c r="E2" s="364"/>
      <c r="F2" s="364"/>
      <c r="G2" s="364"/>
      <c r="H2" s="364"/>
      <c r="I2" s="364"/>
      <c r="J2" s="364"/>
    </row>
    <row r="3" spans="1:10" s="52" customFormat="1" ht="16" hidden="1" x14ac:dyDescent="0.2">
      <c r="A3" s="176" t="s">
        <v>158</v>
      </c>
      <c r="B3" s="177"/>
      <c r="C3" s="453" t="str">
        <f>'Financial History'!$A$4</f>
        <v>Amazon</v>
      </c>
      <c r="D3" s="454"/>
      <c r="E3" s="454"/>
      <c r="F3" s="454"/>
      <c r="G3" s="454"/>
      <c r="H3" s="454"/>
      <c r="I3" s="454"/>
      <c r="J3" s="454"/>
    </row>
    <row r="4" spans="1:10" s="52" customFormat="1" ht="16" hidden="1" x14ac:dyDescent="0.2">
      <c r="A4" s="176" t="s">
        <v>174</v>
      </c>
      <c r="B4" s="177"/>
      <c r="C4" s="457">
        <f>'Financial History'!$C$9</f>
        <v>2019</v>
      </c>
      <c r="D4" s="457"/>
      <c r="E4" s="457"/>
      <c r="F4" s="457"/>
      <c r="G4" s="457"/>
      <c r="H4" s="457"/>
      <c r="I4" s="457"/>
      <c r="J4" s="457"/>
    </row>
    <row r="5" spans="1:10" s="52" customFormat="1" ht="16" x14ac:dyDescent="0.2">
      <c r="A5" s="452" t="str">
        <f>$C3</f>
        <v>Amazon</v>
      </c>
      <c r="B5" s="452"/>
      <c r="C5" s="452"/>
      <c r="D5" s="452"/>
      <c r="E5" s="452"/>
      <c r="F5" s="452"/>
      <c r="G5" s="452"/>
      <c r="H5" s="452"/>
      <c r="I5" s="452"/>
      <c r="J5" s="452"/>
    </row>
    <row r="6" spans="1:10" s="52" customFormat="1" ht="16" x14ac:dyDescent="0.2">
      <c r="A6" s="452" t="s">
        <v>159</v>
      </c>
      <c r="B6" s="452"/>
      <c r="C6" s="452"/>
      <c r="D6" s="452"/>
      <c r="E6" s="452"/>
      <c r="F6" s="452"/>
      <c r="G6" s="452"/>
      <c r="H6" s="452"/>
      <c r="I6" s="452"/>
      <c r="J6" s="452"/>
    </row>
    <row r="7" spans="1:10" s="244" customFormat="1" ht="12" x14ac:dyDescent="0.15">
      <c r="A7" s="458" t="str">
        <f>"For End of Fiscal Year "&amp;$C$4</f>
        <v>For End of Fiscal Year 2019</v>
      </c>
      <c r="B7" s="458"/>
      <c r="C7" s="458"/>
      <c r="D7" s="458"/>
      <c r="E7" s="458"/>
      <c r="F7" s="458"/>
      <c r="G7" s="458"/>
      <c r="H7" s="458"/>
      <c r="I7" s="458"/>
      <c r="J7" s="458"/>
    </row>
    <row r="8" spans="1:10" s="245" customFormat="1" ht="12" x14ac:dyDescent="0.15">
      <c r="A8" s="455" t="str">
        <f>'Financial History'!$A$6</f>
        <v>Unaudited; Amounts USD x 1000</v>
      </c>
      <c r="B8" s="456"/>
      <c r="C8" s="456"/>
      <c r="D8" s="456"/>
      <c r="E8" s="456"/>
      <c r="F8" s="456"/>
      <c r="G8" s="456"/>
      <c r="H8" s="456"/>
      <c r="I8" s="456"/>
      <c r="J8" s="456"/>
    </row>
    <row r="9" spans="1:10" x14ac:dyDescent="0.15">
      <c r="A9" s="54" t="s">
        <v>14</v>
      </c>
      <c r="B9" s="55"/>
      <c r="C9" s="14"/>
      <c r="D9" s="14"/>
      <c r="E9" s="14"/>
      <c r="F9" s="14"/>
      <c r="G9" s="14"/>
      <c r="H9" s="14"/>
      <c r="I9" s="32" t="s">
        <v>5</v>
      </c>
      <c r="J9" s="15"/>
    </row>
    <row r="10" spans="1:10" ht="60" customHeight="1" x14ac:dyDescent="0.15">
      <c r="A10" s="51"/>
      <c r="B10" s="56"/>
      <c r="C10" s="53" t="s">
        <v>157</v>
      </c>
      <c r="D10" s="36" t="s">
        <v>30</v>
      </c>
      <c r="E10" s="36" t="s">
        <v>25</v>
      </c>
      <c r="F10" s="37" t="s">
        <v>11</v>
      </c>
      <c r="G10" s="36" t="s">
        <v>12</v>
      </c>
      <c r="H10" s="36" t="s">
        <v>35</v>
      </c>
      <c r="I10" s="413" t="s">
        <v>6</v>
      </c>
      <c r="J10" s="265" t="s">
        <v>7</v>
      </c>
    </row>
    <row r="11" spans="1:10" x14ac:dyDescent="0.15">
      <c r="A11" s="252" t="s">
        <v>15</v>
      </c>
      <c r="B11" s="253"/>
      <c r="C11" s="254">
        <v>0</v>
      </c>
      <c r="D11" s="255">
        <v>0</v>
      </c>
      <c r="E11" s="256">
        <v>0.2</v>
      </c>
      <c r="F11" s="257">
        <f>1-E11</f>
        <v>0.8</v>
      </c>
      <c r="G11" s="258">
        <f t="shared" ref="G11:G20" si="0">D11*(1-E11)</f>
        <v>0</v>
      </c>
      <c r="H11" s="259">
        <f t="shared" ref="H11:H20" si="1">C11*G11</f>
        <v>0</v>
      </c>
      <c r="I11" s="410">
        <f t="shared" ref="I11:I20" si="2">J11*G11</f>
        <v>0</v>
      </c>
      <c r="J11" s="264">
        <f t="shared" ref="J11:J17" si="3">C11/C$21</f>
        <v>0</v>
      </c>
    </row>
    <row r="12" spans="1:10" x14ac:dyDescent="0.15">
      <c r="A12" s="17" t="s">
        <v>16</v>
      </c>
      <c r="B12" s="18"/>
      <c r="C12" s="179">
        <v>0</v>
      </c>
      <c r="D12" s="178">
        <v>0</v>
      </c>
      <c r="E12" s="50">
        <f>E11</f>
        <v>0.2</v>
      </c>
      <c r="F12" s="20">
        <f>1-E12</f>
        <v>0.8</v>
      </c>
      <c r="G12" s="19">
        <f t="shared" si="0"/>
        <v>0</v>
      </c>
      <c r="H12" s="260">
        <f t="shared" si="1"/>
        <v>0</v>
      </c>
      <c r="I12" s="410">
        <f t="shared" si="2"/>
        <v>0</v>
      </c>
      <c r="J12" s="21">
        <f t="shared" si="3"/>
        <v>0</v>
      </c>
    </row>
    <row r="13" spans="1:10" x14ac:dyDescent="0.15">
      <c r="A13" s="17" t="s">
        <v>19</v>
      </c>
      <c r="B13" s="18"/>
      <c r="C13" s="179">
        <v>0</v>
      </c>
      <c r="D13" s="178">
        <v>0</v>
      </c>
      <c r="E13" s="50">
        <f t="shared" ref="E13:E15" si="4">E12</f>
        <v>0.2</v>
      </c>
      <c r="F13" s="20">
        <f>1-E13</f>
        <v>0.8</v>
      </c>
      <c r="G13" s="19">
        <f t="shared" si="0"/>
        <v>0</v>
      </c>
      <c r="H13" s="260">
        <f t="shared" si="1"/>
        <v>0</v>
      </c>
      <c r="I13" s="410">
        <f t="shared" si="2"/>
        <v>0</v>
      </c>
      <c r="J13" s="21">
        <f t="shared" si="3"/>
        <v>0</v>
      </c>
    </row>
    <row r="14" spans="1:10" x14ac:dyDescent="0.15">
      <c r="A14" s="17" t="s">
        <v>17</v>
      </c>
      <c r="B14" s="18"/>
      <c r="C14" s="179">
        <v>0</v>
      </c>
      <c r="D14" s="178">
        <v>0</v>
      </c>
      <c r="E14" s="50">
        <f t="shared" si="4"/>
        <v>0.2</v>
      </c>
      <c r="F14" s="20">
        <f>1-E14</f>
        <v>0.8</v>
      </c>
      <c r="G14" s="19">
        <f t="shared" si="0"/>
        <v>0</v>
      </c>
      <c r="H14" s="260">
        <f t="shared" si="1"/>
        <v>0</v>
      </c>
      <c r="I14" s="410">
        <f t="shared" si="2"/>
        <v>0</v>
      </c>
      <c r="J14" s="21">
        <f t="shared" si="3"/>
        <v>0</v>
      </c>
    </row>
    <row r="15" spans="1:10" x14ac:dyDescent="0.15">
      <c r="A15" s="17" t="s">
        <v>175</v>
      </c>
      <c r="B15" s="18"/>
      <c r="C15" s="179">
        <v>0</v>
      </c>
      <c r="D15" s="178">
        <v>0</v>
      </c>
      <c r="E15" s="50">
        <f t="shared" si="4"/>
        <v>0.2</v>
      </c>
      <c r="F15" s="20">
        <f t="shared" ref="F15:F20" si="5">1-E15</f>
        <v>0.8</v>
      </c>
      <c r="G15" s="19">
        <f t="shared" si="0"/>
        <v>0</v>
      </c>
      <c r="H15" s="260">
        <f t="shared" si="1"/>
        <v>0</v>
      </c>
      <c r="I15" s="410">
        <f t="shared" si="2"/>
        <v>0</v>
      </c>
      <c r="J15" s="21">
        <f t="shared" si="3"/>
        <v>0</v>
      </c>
    </row>
    <row r="16" spans="1:10" x14ac:dyDescent="0.15">
      <c r="A16" s="17" t="s">
        <v>18</v>
      </c>
      <c r="B16" s="18"/>
      <c r="C16" s="179">
        <v>0</v>
      </c>
      <c r="D16" s="178">
        <v>0</v>
      </c>
      <c r="E16" s="50">
        <v>0</v>
      </c>
      <c r="F16" s="20">
        <f t="shared" si="5"/>
        <v>1</v>
      </c>
      <c r="G16" s="19">
        <f t="shared" si="0"/>
        <v>0</v>
      </c>
      <c r="H16" s="260">
        <f t="shared" si="1"/>
        <v>0</v>
      </c>
      <c r="I16" s="410">
        <f t="shared" si="2"/>
        <v>0</v>
      </c>
      <c r="J16" s="21">
        <f t="shared" si="3"/>
        <v>0</v>
      </c>
    </row>
    <row r="17" spans="1:11" x14ac:dyDescent="0.15">
      <c r="A17" s="17" t="s">
        <v>171</v>
      </c>
      <c r="B17" s="18"/>
      <c r="C17" s="243">
        <f>'Financial History'!$C$93</f>
        <v>5000</v>
      </c>
      <c r="D17" s="178">
        <v>0</v>
      </c>
      <c r="E17" s="50">
        <v>0</v>
      </c>
      <c r="F17" s="20">
        <f t="shared" ref="F17" si="6">1-E17</f>
        <v>1</v>
      </c>
      <c r="G17" s="19">
        <f t="shared" ref="G17" si="7">D17*(1-E17)</f>
        <v>0</v>
      </c>
      <c r="H17" s="260">
        <f t="shared" ref="H17" si="8">C17*G17</f>
        <v>0</v>
      </c>
      <c r="I17" s="410">
        <f t="shared" si="2"/>
        <v>0</v>
      </c>
      <c r="J17" s="21">
        <f t="shared" si="3"/>
        <v>7.706178814173204E-5</v>
      </c>
    </row>
    <row r="18" spans="1:11" x14ac:dyDescent="0.15">
      <c r="A18" s="17" t="s">
        <v>172</v>
      </c>
      <c r="B18" s="18"/>
      <c r="C18" s="243">
        <f>'Financial History'!$C$94</f>
        <v>33658000</v>
      </c>
      <c r="D18" s="239">
        <f>D$17</f>
        <v>0</v>
      </c>
      <c r="E18" s="50">
        <v>0</v>
      </c>
      <c r="F18" s="20">
        <f t="shared" si="5"/>
        <v>1</v>
      </c>
      <c r="G18" s="19">
        <f t="shared" si="0"/>
        <v>0</v>
      </c>
      <c r="H18" s="260">
        <f t="shared" si="1"/>
        <v>0</v>
      </c>
      <c r="I18" s="410">
        <f t="shared" si="2"/>
        <v>0</v>
      </c>
      <c r="J18" s="21">
        <f t="shared" ref="J18:J19" si="9">C18/C$21</f>
        <v>0.51874913305488346</v>
      </c>
    </row>
    <row r="19" spans="1:11" x14ac:dyDescent="0.15">
      <c r="A19" s="17" t="s">
        <v>8</v>
      </c>
      <c r="B19" s="18"/>
      <c r="C19" s="243">
        <f>'Financial History'!$C$95</f>
        <v>31220000</v>
      </c>
      <c r="D19" s="239">
        <f>D$17</f>
        <v>0</v>
      </c>
      <c r="E19" s="50">
        <v>0</v>
      </c>
      <c r="F19" s="20">
        <f t="shared" ref="F19" si="10">1-E19</f>
        <v>1</v>
      </c>
      <c r="G19" s="19">
        <f t="shared" ref="G19" si="11">D19*(1-E19)</f>
        <v>0</v>
      </c>
      <c r="H19" s="260">
        <f t="shared" ref="H19" si="12">C19*G19</f>
        <v>0</v>
      </c>
      <c r="I19" s="410">
        <f t="shared" si="2"/>
        <v>0</v>
      </c>
      <c r="J19" s="21">
        <f t="shared" si="9"/>
        <v>0.48117380515697489</v>
      </c>
    </row>
    <row r="20" spans="1:11" ht="12" thickBot="1" x14ac:dyDescent="0.2">
      <c r="A20" s="240" t="s">
        <v>170</v>
      </c>
      <c r="B20" s="241"/>
      <c r="C20" s="180">
        <v>0</v>
      </c>
      <c r="D20" s="178">
        <v>0</v>
      </c>
      <c r="E20" s="50">
        <v>0</v>
      </c>
      <c r="F20" s="20">
        <f t="shared" si="5"/>
        <v>1</v>
      </c>
      <c r="G20" s="19">
        <f t="shared" si="0"/>
        <v>0</v>
      </c>
      <c r="H20" s="261">
        <f t="shared" si="1"/>
        <v>0</v>
      </c>
      <c r="I20" s="411">
        <f t="shared" si="2"/>
        <v>0</v>
      </c>
      <c r="J20" s="22">
        <f>C20/C$21</f>
        <v>0</v>
      </c>
    </row>
    <row r="21" spans="1:11" ht="15" thickBot="1" x14ac:dyDescent="0.35">
      <c r="A21" s="23" t="s">
        <v>9</v>
      </c>
      <c r="B21" s="24"/>
      <c r="C21" s="44">
        <f>SUM(C11:C20)</f>
        <v>64883000</v>
      </c>
      <c r="D21" s="25"/>
      <c r="E21" s="26"/>
      <c r="F21" s="26"/>
      <c r="G21" s="27"/>
      <c r="H21" s="44">
        <f>SUM(H11:H20)</f>
        <v>0</v>
      </c>
      <c r="I21" s="412">
        <f>SUM(I11:I20)</f>
        <v>0</v>
      </c>
      <c r="J21" s="28">
        <f>SUM(J11:J20)</f>
        <v>1</v>
      </c>
    </row>
    <row r="22" spans="1:11" ht="14" x14ac:dyDescent="0.3">
      <c r="A22" s="23"/>
      <c r="B22" s="24"/>
      <c r="C22" s="44"/>
      <c r="D22" s="25"/>
      <c r="E22" s="26"/>
      <c r="F22" s="26"/>
      <c r="G22" s="27"/>
      <c r="H22" s="262"/>
      <c r="I22" s="368"/>
      <c r="J22" s="28"/>
    </row>
    <row r="23" spans="1:11" ht="15" thickBot="1" x14ac:dyDescent="0.35">
      <c r="A23" s="23" t="s">
        <v>182</v>
      </c>
      <c r="B23" s="18"/>
      <c r="C23" s="29"/>
      <c r="D23" s="19"/>
      <c r="E23" s="20"/>
      <c r="F23" s="20"/>
      <c r="G23" s="30"/>
      <c r="H23" s="263"/>
      <c r="I23" s="31"/>
      <c r="J23" s="21"/>
    </row>
    <row r="24" spans="1:11" ht="15" thickBot="1" x14ac:dyDescent="0.35">
      <c r="A24" s="38" t="s">
        <v>10</v>
      </c>
      <c r="B24" s="47"/>
      <c r="C24" s="39"/>
      <c r="D24" s="40"/>
      <c r="E24" s="45"/>
      <c r="F24" s="41" t="str">
        <f>"$"&amp;ROUND($H21,1)&amp;" / $"&amp;ROUND($C$21,1)</f>
        <v>$0 / $64883000</v>
      </c>
      <c r="G24" s="46" t="str">
        <f>"="</f>
        <v>=</v>
      </c>
      <c r="H24" s="412">
        <f>H21/C21</f>
        <v>0</v>
      </c>
      <c r="I24" s="47"/>
      <c r="J24" s="42"/>
      <c r="K24" s="43"/>
    </row>
    <row r="25" spans="1:11" ht="14" x14ac:dyDescent="0.3">
      <c r="A25" s="266"/>
      <c r="B25" s="267"/>
      <c r="C25" s="268"/>
      <c r="D25" s="269"/>
      <c r="E25" s="270"/>
      <c r="F25" s="271"/>
      <c r="G25" s="272"/>
      <c r="H25" s="281"/>
      <c r="I25" s="267"/>
      <c r="J25" s="273"/>
      <c r="K25" s="43"/>
    </row>
    <row r="26" spans="1:11" ht="14" x14ac:dyDescent="0.3">
      <c r="A26" s="274"/>
      <c r="B26" s="275"/>
      <c r="C26" s="276" t="s">
        <v>178</v>
      </c>
      <c r="D26" s="277" t="s">
        <v>179</v>
      </c>
      <c r="E26" s="278"/>
      <c r="F26" s="279"/>
      <c r="G26" s="280"/>
      <c r="H26" s="281"/>
      <c r="I26" s="275"/>
      <c r="J26" s="282"/>
      <c r="K26" s="43"/>
    </row>
    <row r="27" spans="1:11" x14ac:dyDescent="0.15">
      <c r="A27" s="283" t="s">
        <v>176</v>
      </c>
      <c r="B27" s="284"/>
      <c r="C27" s="285">
        <f>SUM(C11:C16)</f>
        <v>0</v>
      </c>
      <c r="D27" s="49">
        <f>IF(C$29=0,0,C27/C$29)</f>
        <v>0</v>
      </c>
      <c r="E27" s="50"/>
      <c r="F27" s="286"/>
      <c r="G27" s="287" t="s">
        <v>180</v>
      </c>
      <c r="H27" s="414">
        <f>IF($C$28=0,0,$C$27/$C$28)</f>
        <v>0</v>
      </c>
      <c r="I27" s="288"/>
      <c r="J27" s="289"/>
      <c r="K27" s="43"/>
    </row>
    <row r="28" spans="1:11" ht="14" x14ac:dyDescent="0.3">
      <c r="A28" s="283" t="s">
        <v>177</v>
      </c>
      <c r="B28" s="284"/>
      <c r="C28" s="290">
        <f>SUM(C17:C20)</f>
        <v>64883000</v>
      </c>
      <c r="D28" s="291">
        <f t="shared" ref="D28:D29" si="13">IF(C$29=0,0,C28/C$29)</f>
        <v>1</v>
      </c>
      <c r="E28" s="50"/>
      <c r="F28" s="286"/>
      <c r="G28" s="292" t="s">
        <v>181</v>
      </c>
      <c r="H28" s="414">
        <f>IF($C$29=0,0,$C$27/$C$29)</f>
        <v>0</v>
      </c>
      <c r="I28" s="275"/>
      <c r="J28" s="282"/>
      <c r="K28" s="43"/>
    </row>
    <row r="29" spans="1:11" ht="14" x14ac:dyDescent="0.3">
      <c r="A29" s="274" t="s">
        <v>253</v>
      </c>
      <c r="B29" s="275"/>
      <c r="C29" s="293">
        <f>C27+C28</f>
        <v>64883000</v>
      </c>
      <c r="D29" s="294">
        <f t="shared" si="13"/>
        <v>1</v>
      </c>
      <c r="E29" s="278"/>
      <c r="F29" s="279"/>
      <c r="G29" s="280"/>
      <c r="H29" s="295"/>
      <c r="I29" s="275"/>
      <c r="J29" s="282"/>
      <c r="K29" s="43"/>
    </row>
    <row r="30" spans="1:11" x14ac:dyDescent="0.15">
      <c r="A30" s="296"/>
      <c r="B30" s="297"/>
      <c r="C30" s="298"/>
      <c r="D30" s="299"/>
      <c r="E30" s="300"/>
      <c r="F30" s="301"/>
      <c r="G30" s="302"/>
      <c r="H30" s="303"/>
      <c r="I30" s="297"/>
      <c r="J30" s="304"/>
      <c r="K30" s="43"/>
    </row>
    <row r="31" spans="1:11" x14ac:dyDescent="0.15">
      <c r="A31" s="246"/>
      <c r="B31" s="246"/>
      <c r="C31" s="243"/>
      <c r="D31" s="247"/>
      <c r="E31" s="248"/>
      <c r="F31" s="249"/>
      <c r="G31" s="250"/>
      <c r="H31" s="251"/>
      <c r="I31" s="246"/>
      <c r="J31" s="251"/>
      <c r="K31" s="43"/>
    </row>
    <row r="32" spans="1:11" x14ac:dyDescent="0.15">
      <c r="C32" s="243"/>
    </row>
    <row r="33" spans="1:7" x14ac:dyDescent="0.15">
      <c r="A33" s="33" t="s">
        <v>13</v>
      </c>
      <c r="B33" s="33"/>
    </row>
    <row r="34" spans="1:7" x14ac:dyDescent="0.15">
      <c r="A34" s="48" t="s">
        <v>24</v>
      </c>
      <c r="B34" s="242" t="s">
        <v>212</v>
      </c>
    </row>
    <row r="35" spans="1:7" x14ac:dyDescent="0.15">
      <c r="A35" s="48" t="s">
        <v>26</v>
      </c>
      <c r="B35" s="48" t="s">
        <v>29</v>
      </c>
    </row>
    <row r="36" spans="1:7" x14ac:dyDescent="0.15">
      <c r="A36" s="48" t="s">
        <v>27</v>
      </c>
      <c r="B36" s="242" t="s">
        <v>213</v>
      </c>
    </row>
    <row r="37" spans="1:7" x14ac:dyDescent="0.15">
      <c r="A37" s="57" t="s">
        <v>38</v>
      </c>
      <c r="B37" s="242" t="s">
        <v>262</v>
      </c>
    </row>
    <row r="38" spans="1:7" x14ac:dyDescent="0.15">
      <c r="A38" s="48"/>
    </row>
    <row r="39" spans="1:7" x14ac:dyDescent="0.15">
      <c r="A39" s="33" t="s">
        <v>28</v>
      </c>
    </row>
    <row r="41" spans="1:7" x14ac:dyDescent="0.15">
      <c r="A41" s="242" t="s">
        <v>261</v>
      </c>
      <c r="B41" s="48"/>
      <c r="C41" s="48" t="s">
        <v>31</v>
      </c>
      <c r="G41" s="57" t="s">
        <v>36</v>
      </c>
    </row>
    <row r="42" spans="1:7" x14ac:dyDescent="0.15">
      <c r="B42" s="48" t="s">
        <v>32</v>
      </c>
      <c r="C42" s="48" t="s">
        <v>33</v>
      </c>
    </row>
    <row r="44" spans="1:7" x14ac:dyDescent="0.15">
      <c r="A44" s="48" t="s">
        <v>34</v>
      </c>
      <c r="C44" s="242" t="s">
        <v>173</v>
      </c>
    </row>
    <row r="46" spans="1:7" x14ac:dyDescent="0.15">
      <c r="A46" s="57" t="s">
        <v>37</v>
      </c>
      <c r="C46" s="242" t="s">
        <v>214</v>
      </c>
    </row>
    <row r="49" spans="1:1" x14ac:dyDescent="0.15">
      <c r="A49" s="242" t="s">
        <v>252</v>
      </c>
    </row>
  </sheetData>
  <mergeCells count="6">
    <mergeCell ref="A5:J5"/>
    <mergeCell ref="A6:J6"/>
    <mergeCell ref="C3:J3"/>
    <mergeCell ref="A8:J8"/>
    <mergeCell ref="C4:J4"/>
    <mergeCell ref="A7:J7"/>
  </mergeCells>
  <printOptions horizontalCentered="1"/>
  <pageMargins left="0.25" right="0.25" top="0.75" bottom="0.75" header="0.3" footer="0.3"/>
  <pageSetup orientation="landscape" verticalDpi="0" r:id="rId1"/>
  <headerFooter>
    <oddFooter>&amp;L&amp;8&amp;F &amp;A&amp;C&amp;8Printed &amp;D&amp;R&amp;8Page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D91"/>
  <sheetViews>
    <sheetView showGridLines="0" workbookViewId="0">
      <pane xSplit="4" ySplit="7" topLeftCell="E8" activePane="bottomRight" state="frozen"/>
      <selection pane="topRight" activeCell="E1" sqref="E1"/>
      <selection pane="bottomLeft" activeCell="A9" sqref="A9"/>
      <selection pane="bottomRight" activeCell="F15" sqref="F15"/>
    </sheetView>
  </sheetViews>
  <sheetFormatPr baseColWidth="10" defaultColWidth="8.83203125" defaultRowHeight="11" x14ac:dyDescent="0.15"/>
  <cols>
    <col min="1" max="1" width="1.6640625" style="226" customWidth="1"/>
    <col min="2" max="2" width="2.6640625" style="226" customWidth="1"/>
    <col min="3" max="3" width="14.83203125" style="226" customWidth="1"/>
    <col min="4" max="4" width="18.1640625" style="226" customWidth="1"/>
    <col min="5" max="10" width="14.6640625" style="226" customWidth="1"/>
    <col min="11" max="11" width="15.5" style="226" customWidth="1"/>
    <col min="12" max="12" width="2.6640625" style="226" customWidth="1"/>
    <col min="13" max="13" width="10.6640625" style="221" customWidth="1"/>
    <col min="14" max="16384" width="8.83203125" style="226"/>
  </cols>
  <sheetData>
    <row r="1" spans="1:18" s="377" customFormat="1" ht="18" x14ac:dyDescent="0.2">
      <c r="A1" s="367" t="s">
        <v>266</v>
      </c>
    </row>
    <row r="2" spans="1:18" s="386" customFormat="1" ht="14" x14ac:dyDescent="0.15">
      <c r="A2" s="181"/>
      <c r="B2" s="181"/>
      <c r="C2" s="181"/>
      <c r="D2" s="181"/>
      <c r="E2" s="181"/>
      <c r="F2" s="181"/>
      <c r="G2" s="181"/>
      <c r="H2" s="181"/>
      <c r="I2" s="181"/>
      <c r="J2" s="181"/>
    </row>
    <row r="3" spans="1:18" s="35" customFormat="1" ht="12" customHeight="1" x14ac:dyDescent="0.15">
      <c r="A3" s="34"/>
      <c r="B3" s="34"/>
      <c r="C3" s="34"/>
      <c r="D3" s="182" t="s">
        <v>155</v>
      </c>
      <c r="E3" s="182" t="s">
        <v>85</v>
      </c>
      <c r="F3" s="34" t="s">
        <v>216</v>
      </c>
      <c r="G3" s="34"/>
    </row>
    <row r="4" spans="1:18" s="35" customFormat="1" ht="12" customHeight="1" x14ac:dyDescent="0.15">
      <c r="A4" s="34"/>
      <c r="B4" s="34"/>
      <c r="C4" s="34"/>
      <c r="D4" s="182" t="s">
        <v>86</v>
      </c>
      <c r="E4" s="183">
        <f>'Financial History'!$C$3</f>
        <v>1000</v>
      </c>
      <c r="F4" s="34" t="s">
        <v>215</v>
      </c>
      <c r="G4" s="34"/>
    </row>
    <row r="5" spans="1:18" s="187" customFormat="1" ht="12" customHeight="1" x14ac:dyDescent="0.15">
      <c r="A5" s="227" t="str">
        <f>'Financial History'!$A$4&amp;" - COMPANY VALUATION"</f>
        <v>Amazon - COMPANY VALUATION</v>
      </c>
      <c r="B5" s="184"/>
      <c r="C5" s="184"/>
      <c r="D5" s="185"/>
      <c r="E5" s="184"/>
      <c r="F5" s="184"/>
      <c r="G5" s="184"/>
      <c r="H5" s="185"/>
      <c r="I5" s="185"/>
      <c r="J5" s="185"/>
      <c r="K5" s="186"/>
    </row>
    <row r="6" spans="1:18" s="35" customFormat="1" ht="12" customHeight="1" x14ac:dyDescent="0.15">
      <c r="A6" s="188" t="str">
        <f>"(Unaudited; "&amp;$E$3&amp;" "&amp;$E$4&amp;")"</f>
        <v>(Unaudited; USD 1000)</v>
      </c>
      <c r="B6" s="189"/>
      <c r="C6" s="189"/>
      <c r="D6" s="190"/>
      <c r="E6" s="189"/>
      <c r="F6" s="189"/>
      <c r="G6" s="189"/>
      <c r="H6" s="190"/>
      <c r="I6" s="190"/>
      <c r="J6" s="190"/>
      <c r="K6" s="191"/>
    </row>
    <row r="7" spans="1:18" s="197" customFormat="1" ht="12" customHeight="1" x14ac:dyDescent="0.15">
      <c r="A7" s="192"/>
      <c r="B7" s="193"/>
      <c r="C7" s="193"/>
      <c r="D7" s="194" t="s">
        <v>162</v>
      </c>
      <c r="E7" s="228">
        <f>'Financial History'!$C$9</f>
        <v>2019</v>
      </c>
      <c r="F7" s="195">
        <f>E7+1</f>
        <v>2020</v>
      </c>
      <c r="G7" s="195">
        <f t="shared" ref="G7:J7" si="0">F7+1</f>
        <v>2021</v>
      </c>
      <c r="H7" s="195">
        <f t="shared" si="0"/>
        <v>2022</v>
      </c>
      <c r="I7" s="195">
        <f t="shared" si="0"/>
        <v>2023</v>
      </c>
      <c r="J7" s="195">
        <f t="shared" si="0"/>
        <v>2024</v>
      </c>
      <c r="K7" s="196" t="s">
        <v>163</v>
      </c>
      <c r="M7" s="374"/>
      <c r="N7" s="375"/>
      <c r="O7" s="375"/>
      <c r="P7" s="375"/>
      <c r="Q7" s="375"/>
      <c r="R7" s="375"/>
    </row>
    <row r="8" spans="1:18" s="202" customFormat="1" ht="12" customHeight="1" x14ac:dyDescent="0.15">
      <c r="A8" s="198"/>
      <c r="B8" s="199"/>
      <c r="C8" s="199"/>
      <c r="D8" s="200"/>
      <c r="E8" s="229"/>
      <c r="F8" s="199"/>
      <c r="G8" s="199"/>
      <c r="H8" s="199"/>
      <c r="I8" s="199"/>
      <c r="J8" s="199"/>
      <c r="K8" s="201"/>
      <c r="M8" s="213"/>
      <c r="N8" s="214"/>
      <c r="O8" s="214"/>
      <c r="P8" s="214"/>
      <c r="Q8" s="214"/>
      <c r="R8" s="214"/>
    </row>
    <row r="9" spans="1:18" s="202" customFormat="1" ht="12" customHeight="1" x14ac:dyDescent="0.15">
      <c r="A9" s="203"/>
      <c r="B9" s="205"/>
      <c r="C9" s="205"/>
      <c r="D9" s="419"/>
      <c r="E9" s="420"/>
      <c r="F9" s="205"/>
      <c r="G9" s="205"/>
      <c r="H9" s="205"/>
      <c r="I9" s="205"/>
      <c r="J9" s="205"/>
      <c r="K9" s="421"/>
      <c r="M9" s="213"/>
      <c r="N9" s="214"/>
      <c r="O9" s="214"/>
      <c r="P9" s="214"/>
      <c r="Q9" s="214"/>
      <c r="R9" s="214"/>
    </row>
    <row r="10" spans="1:18" s="202" customFormat="1" ht="12" customHeight="1" x14ac:dyDescent="0.15">
      <c r="A10" s="203" t="str">
        <f>'Financial History'!A10</f>
        <v>TOTAL REVENUES</v>
      </c>
      <c r="B10" s="204"/>
      <c r="C10" s="204"/>
      <c r="D10" s="205"/>
      <c r="E10" s="230">
        <f>'Financial History'!$C$10</f>
        <v>280522000</v>
      </c>
      <c r="F10" s="233">
        <f>E10*(1+F11)</f>
        <v>280522000</v>
      </c>
      <c r="G10" s="233">
        <f t="shared" ref="G10:J10" si="1">F10*(1+G11)</f>
        <v>280522000</v>
      </c>
      <c r="H10" s="233">
        <f t="shared" si="1"/>
        <v>280522000</v>
      </c>
      <c r="I10" s="233">
        <f t="shared" si="1"/>
        <v>280522000</v>
      </c>
      <c r="J10" s="233">
        <f t="shared" si="1"/>
        <v>280522000</v>
      </c>
      <c r="K10" s="206">
        <f>SUM(E10:J10)</f>
        <v>1683132000</v>
      </c>
      <c r="M10" s="213"/>
      <c r="N10" s="214"/>
      <c r="O10" s="214"/>
      <c r="P10" s="214"/>
      <c r="Q10" s="214"/>
      <c r="R10" s="214"/>
    </row>
    <row r="11" spans="1:18" s="314" customFormat="1" ht="12" customHeight="1" x14ac:dyDescent="0.15">
      <c r="A11" s="308"/>
      <c r="B11" s="309" t="s">
        <v>169</v>
      </c>
      <c r="C11" s="309"/>
      <c r="D11" s="310"/>
      <c r="E11" s="311">
        <f>'Financial History'!$F$10</f>
        <v>0.2045412582067698</v>
      </c>
      <c r="F11" s="312">
        <v>0</v>
      </c>
      <c r="G11" s="312">
        <v>0</v>
      </c>
      <c r="H11" s="312">
        <v>0</v>
      </c>
      <c r="I11" s="312">
        <v>0</v>
      </c>
      <c r="J11" s="312">
        <v>0</v>
      </c>
      <c r="K11" s="313"/>
      <c r="M11" s="387"/>
      <c r="N11" s="388"/>
      <c r="O11" s="214"/>
      <c r="P11" s="388"/>
      <c r="Q11" s="388"/>
      <c r="R11" s="388"/>
    </row>
    <row r="12" spans="1:18" s="314" customFormat="1" ht="12" customHeight="1" x14ac:dyDescent="0.15">
      <c r="A12" s="308"/>
      <c r="B12" s="309"/>
      <c r="C12" s="309"/>
      <c r="D12" s="310"/>
      <c r="E12" s="311"/>
      <c r="F12" s="422"/>
      <c r="G12" s="422"/>
      <c r="H12" s="422"/>
      <c r="I12" s="422"/>
      <c r="J12" s="422"/>
      <c r="K12" s="313"/>
      <c r="M12" s="387"/>
      <c r="N12" s="388"/>
      <c r="O12" s="214"/>
      <c r="P12" s="388"/>
      <c r="Q12" s="388"/>
      <c r="R12" s="388"/>
    </row>
    <row r="13" spans="1:18" s="212" customFormat="1" ht="12" customHeight="1" x14ac:dyDescent="0.15">
      <c r="A13" s="208" t="s">
        <v>183</v>
      </c>
      <c r="B13" s="209"/>
      <c r="C13" s="209"/>
      <c r="D13" s="210"/>
      <c r="E13" s="231">
        <f t="shared" ref="E13" si="2">E10-E14</f>
        <v>265981000</v>
      </c>
      <c r="F13" s="315">
        <v>0</v>
      </c>
      <c r="G13" s="315">
        <v>0</v>
      </c>
      <c r="H13" s="315">
        <v>0</v>
      </c>
      <c r="I13" s="315">
        <v>0</v>
      </c>
      <c r="J13" s="315">
        <v>0</v>
      </c>
      <c r="K13" s="206">
        <f>SUM(E13:J13)</f>
        <v>265981000</v>
      </c>
      <c r="M13" s="316"/>
      <c r="N13" s="317"/>
      <c r="O13" s="214"/>
      <c r="P13" s="317"/>
      <c r="Q13" s="317"/>
      <c r="R13" s="317"/>
    </row>
    <row r="14" spans="1:18" s="202" customFormat="1" ht="12" customHeight="1" x14ac:dyDescent="0.15">
      <c r="A14" s="203" t="str">
        <f>'Financial History'!A15</f>
        <v>OPERATING INCOME or (Loss)</v>
      </c>
      <c r="B14" s="204"/>
      <c r="C14" s="204"/>
      <c r="D14" s="205"/>
      <c r="E14" s="230">
        <f>'Financial History'!$C$15</f>
        <v>14541000</v>
      </c>
      <c r="F14" s="233">
        <f>F10-F13</f>
        <v>280522000</v>
      </c>
      <c r="G14" s="233">
        <f t="shared" ref="G14:J14" si="3">G10-G13</f>
        <v>280522000</v>
      </c>
      <c r="H14" s="233">
        <f t="shared" si="3"/>
        <v>280522000</v>
      </c>
      <c r="I14" s="233">
        <f t="shared" si="3"/>
        <v>280522000</v>
      </c>
      <c r="J14" s="233">
        <f t="shared" si="3"/>
        <v>280522000</v>
      </c>
      <c r="K14" s="206">
        <f>SUM(E14:J14)</f>
        <v>1417151000</v>
      </c>
      <c r="M14" s="213"/>
      <c r="N14" s="214"/>
      <c r="O14" s="214"/>
      <c r="P14" s="214"/>
      <c r="Q14" s="214"/>
      <c r="R14" s="214"/>
    </row>
    <row r="15" spans="1:18" s="314" customFormat="1" ht="12" customHeight="1" x14ac:dyDescent="0.15">
      <c r="A15" s="308"/>
      <c r="B15" s="309" t="s">
        <v>291</v>
      </c>
      <c r="C15" s="309"/>
      <c r="D15" s="310"/>
      <c r="E15" s="311">
        <f>IF(E10=0,0,E14/E10)</f>
        <v>5.1835506662579051E-2</v>
      </c>
      <c r="F15" s="422">
        <f t="shared" ref="F15:J15" si="4">IF(F10=0,0,F14/F10)</f>
        <v>1</v>
      </c>
      <c r="G15" s="422">
        <f t="shared" si="4"/>
        <v>1</v>
      </c>
      <c r="H15" s="422">
        <f t="shared" si="4"/>
        <v>1</v>
      </c>
      <c r="I15" s="422">
        <f t="shared" si="4"/>
        <v>1</v>
      </c>
      <c r="J15" s="422">
        <f t="shared" si="4"/>
        <v>1</v>
      </c>
      <c r="K15" s="313"/>
      <c r="M15" s="389" t="s">
        <v>292</v>
      </c>
      <c r="N15" s="388"/>
      <c r="O15" s="214"/>
      <c r="P15" s="388"/>
      <c r="Q15" s="388"/>
      <c r="R15" s="388"/>
    </row>
    <row r="16" spans="1:18" s="202" customFormat="1" ht="12" customHeight="1" x14ac:dyDescent="0.15">
      <c r="A16" s="203"/>
      <c r="B16" s="204"/>
      <c r="C16" s="204"/>
      <c r="D16" s="205"/>
      <c r="E16" s="236"/>
      <c r="F16" s="237"/>
      <c r="G16" s="237"/>
      <c r="H16" s="237"/>
      <c r="I16" s="237"/>
      <c r="J16" s="237"/>
      <c r="K16" s="238"/>
      <c r="M16" s="213"/>
      <c r="N16" s="214"/>
      <c r="O16" s="214"/>
      <c r="P16" s="214"/>
      <c r="Q16" s="214"/>
      <c r="R16" s="214"/>
    </row>
    <row r="17" spans="1:18" s="212" customFormat="1" ht="12" customHeight="1" x14ac:dyDescent="0.15">
      <c r="A17" s="324" t="str">
        <f>'Financial History'!A17</f>
        <v>Interest expense</v>
      </c>
      <c r="B17" s="210"/>
      <c r="C17" s="316"/>
      <c r="D17" s="317"/>
      <c r="E17" s="307" t="e">
        <f>'Financial History'!#REF!</f>
        <v>#REF!</v>
      </c>
      <c r="F17" s="305"/>
      <c r="G17" s="305">
        <v>0</v>
      </c>
      <c r="H17" s="305">
        <v>0</v>
      </c>
      <c r="I17" s="305">
        <v>0</v>
      </c>
      <c r="J17" s="305">
        <v>0</v>
      </c>
      <c r="K17" s="206" t="e">
        <f>SUM(E17:J17)</f>
        <v>#REF!</v>
      </c>
      <c r="M17" s="316"/>
      <c r="N17" s="317"/>
      <c r="O17" s="214"/>
      <c r="P17" s="317"/>
      <c r="Q17" s="317"/>
      <c r="R17" s="317"/>
    </row>
    <row r="18" spans="1:18" s="202" customFormat="1" ht="12" customHeight="1" x14ac:dyDescent="0.15">
      <c r="A18" s="208" t="str">
        <f>'Financial History'!A18</f>
        <v>Interest &amp; other income (expense)</v>
      </c>
      <c r="B18" s="205"/>
      <c r="C18" s="204"/>
      <c r="D18" s="234"/>
      <c r="E18" s="230">
        <f>'Financial History'!C17</f>
        <v>1600000</v>
      </c>
      <c r="F18" s="305"/>
      <c r="G18" s="305">
        <v>0</v>
      </c>
      <c r="H18" s="305">
        <v>0</v>
      </c>
      <c r="I18" s="305">
        <v>0</v>
      </c>
      <c r="J18" s="305">
        <v>0</v>
      </c>
      <c r="K18" s="206">
        <f>SUM(E18:J18)</f>
        <v>1600000</v>
      </c>
      <c r="M18" s="213"/>
      <c r="N18" s="214"/>
      <c r="O18" s="214"/>
      <c r="P18" s="214"/>
      <c r="Q18" s="214"/>
      <c r="R18" s="214"/>
    </row>
    <row r="19" spans="1:18" s="202" customFormat="1" ht="12" customHeight="1" x14ac:dyDescent="0.15">
      <c r="A19" s="408" t="str">
        <f>'Financial History'!A20</f>
        <v>INCOME (LOSS) BEFORE INCOME TAXES</v>
      </c>
      <c r="B19" s="205"/>
      <c r="C19" s="204"/>
      <c r="D19" s="234"/>
      <c r="E19" s="230">
        <f>'Financial History'!C20</f>
        <v>13976000</v>
      </c>
      <c r="F19" s="233">
        <f>F14-(F17-F18)</f>
        <v>280522000</v>
      </c>
      <c r="G19" s="233">
        <f t="shared" ref="G19:K19" si="5">G14-(G17-G18)</f>
        <v>280522000</v>
      </c>
      <c r="H19" s="233">
        <f t="shared" si="5"/>
        <v>280522000</v>
      </c>
      <c r="I19" s="233">
        <f t="shared" si="5"/>
        <v>280522000</v>
      </c>
      <c r="J19" s="233">
        <f t="shared" si="5"/>
        <v>280522000</v>
      </c>
      <c r="K19" s="438" t="e">
        <f t="shared" si="5"/>
        <v>#REF!</v>
      </c>
      <c r="M19" s="213"/>
      <c r="N19" s="214"/>
      <c r="O19" s="214"/>
      <c r="P19" s="214"/>
      <c r="Q19" s="214"/>
      <c r="R19" s="214"/>
    </row>
    <row r="20" spans="1:18" s="202" customFormat="1" ht="12" customHeight="1" x14ac:dyDescent="0.15">
      <c r="A20" s="208" t="str">
        <f>'Financial History'!A22</f>
        <v>Provision for (or benefit from) Income Taxes</v>
      </c>
      <c r="B20" s="205"/>
      <c r="C20" s="204"/>
      <c r="D20" s="234"/>
      <c r="E20" s="230">
        <f>'Financial History'!C22</f>
        <v>2374000</v>
      </c>
      <c r="F20" s="305"/>
      <c r="G20" s="305">
        <v>0</v>
      </c>
      <c r="H20" s="305">
        <v>0</v>
      </c>
      <c r="I20" s="305">
        <v>0</v>
      </c>
      <c r="J20" s="305">
        <v>0</v>
      </c>
      <c r="K20" s="206"/>
      <c r="M20" s="213"/>
      <c r="N20" s="214"/>
      <c r="O20" s="214"/>
      <c r="P20" s="214"/>
      <c r="Q20" s="214"/>
      <c r="R20" s="214"/>
    </row>
    <row r="21" spans="1:18" s="212" customFormat="1" ht="12" customHeight="1" x14ac:dyDescent="0.15">
      <c r="A21" s="208" t="str">
        <f>'Financial History'!A25</f>
        <v>Discontinued Operations Income (Loss), Net</v>
      </c>
      <c r="B21" s="210"/>
      <c r="C21" s="209"/>
      <c r="D21" s="210"/>
      <c r="E21" s="231">
        <f>'Financial History'!C25</f>
        <v>0</v>
      </c>
      <c r="F21" s="315">
        <v>0</v>
      </c>
      <c r="G21" s="315">
        <v>0</v>
      </c>
      <c r="H21" s="315">
        <v>0</v>
      </c>
      <c r="I21" s="315">
        <v>0</v>
      </c>
      <c r="J21" s="315">
        <v>0</v>
      </c>
      <c r="K21" s="211">
        <f>SUM(E21:J21)</f>
        <v>0</v>
      </c>
      <c r="M21" s="316"/>
      <c r="N21" s="317"/>
      <c r="O21" s="214"/>
      <c r="P21" s="317"/>
      <c r="Q21" s="317"/>
      <c r="R21" s="317"/>
    </row>
    <row r="22" spans="1:18" s="202" customFormat="1" ht="12" customHeight="1" x14ac:dyDescent="0.15">
      <c r="A22" s="203" t="str">
        <f>'Financial History'!A26</f>
        <v>NET INCOME OR (LOSS)</v>
      </c>
      <c r="B22" s="349"/>
      <c r="C22" s="328"/>
      <c r="D22" s="349"/>
      <c r="E22" s="230">
        <f>'Financial History'!$C$26</f>
        <v>11602000</v>
      </c>
      <c r="F22" s="233">
        <f>(F19-F20)+F21</f>
        <v>280522000</v>
      </c>
      <c r="G22" s="233">
        <f t="shared" ref="G22:K22" si="6">(G19-G20)+G21</f>
        <v>280522000</v>
      </c>
      <c r="H22" s="233">
        <f t="shared" si="6"/>
        <v>280522000</v>
      </c>
      <c r="I22" s="233">
        <f t="shared" si="6"/>
        <v>280522000</v>
      </c>
      <c r="J22" s="233">
        <f t="shared" si="6"/>
        <v>280522000</v>
      </c>
      <c r="K22" s="438" t="e">
        <f t="shared" si="6"/>
        <v>#REF!</v>
      </c>
      <c r="M22" s="213"/>
      <c r="N22" s="214"/>
      <c r="O22" s="214"/>
      <c r="P22" s="214"/>
      <c r="Q22" s="214"/>
      <c r="R22" s="214"/>
    </row>
    <row r="23" spans="1:18" s="202" customFormat="1" ht="12" customHeight="1" x14ac:dyDescent="0.15">
      <c r="A23" s="207" t="str">
        <f>'Financial History'!A28</f>
        <v>Weighted average (Number of) Diluted Shares Outstanding</v>
      </c>
      <c r="B23" s="205"/>
      <c r="C23" s="204"/>
      <c r="D23" s="205"/>
      <c r="E23" s="230">
        <f>'Financial History'!$C$28</f>
        <v>11588000</v>
      </c>
      <c r="F23" s="305"/>
      <c r="G23" s="305">
        <v>0</v>
      </c>
      <c r="H23" s="305">
        <v>0</v>
      </c>
      <c r="I23" s="305">
        <v>0</v>
      </c>
      <c r="J23" s="305">
        <v>0</v>
      </c>
      <c r="K23" s="206"/>
      <c r="M23" s="213"/>
      <c r="N23" s="214"/>
      <c r="O23" s="214"/>
      <c r="P23" s="214"/>
      <c r="Q23" s="214"/>
      <c r="R23" s="214"/>
    </row>
    <row r="24" spans="1:18" s="212" customFormat="1" ht="12" customHeight="1" x14ac:dyDescent="0.15">
      <c r="A24" s="207" t="str">
        <f>'Financial History'!A29</f>
        <v>DILUTED EARNINGS OR (LOSS) PER SHARE</v>
      </c>
      <c r="B24" s="210"/>
      <c r="C24" s="209"/>
      <c r="D24" s="210"/>
      <c r="E24" s="112">
        <f>'Financial History'!$C$29</f>
        <v>1.0012081463583018</v>
      </c>
      <c r="F24" s="113">
        <f t="shared" ref="F24:J24" si="7">IF(F23=0,0,F22/F23)</f>
        <v>0</v>
      </c>
      <c r="G24" s="113">
        <f t="shared" si="7"/>
        <v>0</v>
      </c>
      <c r="H24" s="113">
        <f t="shared" si="7"/>
        <v>0</v>
      </c>
      <c r="I24" s="113">
        <f t="shared" si="7"/>
        <v>0</v>
      </c>
      <c r="J24" s="113">
        <f t="shared" si="7"/>
        <v>0</v>
      </c>
      <c r="K24" s="235">
        <f>SUM(E24:J24)</f>
        <v>1.0012081463583018</v>
      </c>
      <c r="M24" s="316"/>
      <c r="N24" s="317"/>
      <c r="O24" s="214"/>
      <c r="P24" s="317"/>
      <c r="Q24" s="317"/>
      <c r="R24" s="317"/>
    </row>
    <row r="25" spans="1:18" s="212" customFormat="1" ht="12" customHeight="1" x14ac:dyDescent="0.15">
      <c r="A25" s="208"/>
      <c r="B25" s="209"/>
      <c r="C25" s="209"/>
      <c r="D25" s="210"/>
      <c r="E25" s="112"/>
      <c r="F25" s="113"/>
      <c r="G25" s="113"/>
      <c r="H25" s="113"/>
      <c r="I25" s="113"/>
      <c r="J25" s="113"/>
      <c r="K25" s="235"/>
      <c r="M25" s="316"/>
      <c r="N25" s="317"/>
      <c r="O25" s="214"/>
      <c r="P25" s="317"/>
      <c r="Q25" s="317"/>
      <c r="R25" s="317"/>
    </row>
    <row r="26" spans="1:18" s="212" customFormat="1" ht="12" customHeight="1" x14ac:dyDescent="0.15">
      <c r="A26" s="208" t="s">
        <v>104</v>
      </c>
      <c r="B26" s="209"/>
      <c r="C26" s="209"/>
      <c r="D26" s="210"/>
      <c r="E26" s="230">
        <f t="shared" ref="E26:J26" si="8">E22</f>
        <v>11602000</v>
      </c>
      <c r="F26" s="233">
        <f t="shared" si="8"/>
        <v>280522000</v>
      </c>
      <c r="G26" s="233">
        <f t="shared" si="8"/>
        <v>280522000</v>
      </c>
      <c r="H26" s="233">
        <f t="shared" si="8"/>
        <v>280522000</v>
      </c>
      <c r="I26" s="233">
        <f t="shared" si="8"/>
        <v>280522000</v>
      </c>
      <c r="J26" s="233">
        <f t="shared" si="8"/>
        <v>280522000</v>
      </c>
      <c r="K26" s="206">
        <f>SUM(E26:J26)</f>
        <v>1414212000</v>
      </c>
      <c r="M26" s="316"/>
      <c r="N26" s="317"/>
      <c r="O26" s="214"/>
      <c r="P26" s="317"/>
      <c r="Q26" s="317"/>
      <c r="R26" s="317"/>
    </row>
    <row r="27" spans="1:18" s="212" customFormat="1" ht="12" customHeight="1" x14ac:dyDescent="0.15">
      <c r="A27" s="208" t="str">
        <f>'Financial History'!A45</f>
        <v>Depreciation and Amortization Expense</v>
      </c>
      <c r="B27" s="209"/>
      <c r="C27" s="209"/>
      <c r="D27" s="210"/>
      <c r="E27" s="230">
        <f>'Financial History'!$C$45</f>
        <v>21789000</v>
      </c>
      <c r="F27" s="305"/>
      <c r="G27" s="305">
        <v>0</v>
      </c>
      <c r="H27" s="305">
        <v>0</v>
      </c>
      <c r="I27" s="305">
        <v>0</v>
      </c>
      <c r="J27" s="305">
        <v>0</v>
      </c>
      <c r="K27" s="206">
        <f>SUM(E27:J27)</f>
        <v>21789000</v>
      </c>
      <c r="M27" s="316"/>
      <c r="N27" s="317"/>
      <c r="O27" s="214"/>
      <c r="P27" s="317"/>
      <c r="Q27" s="317"/>
      <c r="R27" s="317"/>
    </row>
    <row r="28" spans="1:18" s="322" customFormat="1" ht="15.75" customHeight="1" x14ac:dyDescent="0.3">
      <c r="A28" s="208" t="str">
        <f>'Financial History'!A46</f>
        <v>Other Operating Sources and (Uses)</v>
      </c>
      <c r="B28" s="204"/>
      <c r="C28" s="204"/>
      <c r="D28" s="319"/>
      <c r="E28" s="320">
        <f>'Financial History'!$C$46</f>
        <v>5123000</v>
      </c>
      <c r="F28" s="406"/>
      <c r="G28" s="406">
        <v>0</v>
      </c>
      <c r="H28" s="406">
        <v>0</v>
      </c>
      <c r="I28" s="406">
        <v>0</v>
      </c>
      <c r="J28" s="406">
        <v>0</v>
      </c>
      <c r="K28" s="321">
        <f>SUM(E28:J28)</f>
        <v>5123000</v>
      </c>
      <c r="M28" s="316"/>
      <c r="N28" s="317"/>
      <c r="O28" s="214"/>
      <c r="P28" s="317"/>
      <c r="Q28" s="317"/>
      <c r="R28" s="317"/>
    </row>
    <row r="29" spans="1:18" s="212" customFormat="1" ht="12" customHeight="1" x14ac:dyDescent="0.15">
      <c r="A29" s="208" t="str">
        <f>'Financial History'!A47</f>
        <v>Cash Flow from Operating Activities</v>
      </c>
      <c r="B29" s="209"/>
      <c r="C29" s="209"/>
      <c r="D29" s="210"/>
      <c r="E29" s="230">
        <f>'Financial History'!C47</f>
        <v>38514000</v>
      </c>
      <c r="F29" s="233">
        <f t="shared" ref="F29:J29" si="9">SUM(F26:F28)</f>
        <v>280522000</v>
      </c>
      <c r="G29" s="233">
        <f t="shared" si="9"/>
        <v>280522000</v>
      </c>
      <c r="H29" s="233">
        <f t="shared" si="9"/>
        <v>280522000</v>
      </c>
      <c r="I29" s="233">
        <f t="shared" si="9"/>
        <v>280522000</v>
      </c>
      <c r="J29" s="233">
        <f t="shared" si="9"/>
        <v>280522000</v>
      </c>
      <c r="K29" s="206">
        <f>SUM(E29:J29)</f>
        <v>1441124000</v>
      </c>
      <c r="M29" s="316"/>
      <c r="N29" s="317"/>
      <c r="O29" s="317"/>
      <c r="P29" s="317"/>
      <c r="Q29" s="317"/>
      <c r="R29" s="317"/>
    </row>
    <row r="30" spans="1:18" s="212" customFormat="1" ht="12" customHeight="1" x14ac:dyDescent="0.15">
      <c r="A30" s="208"/>
      <c r="B30" s="209"/>
      <c r="C30" s="209"/>
      <c r="D30" s="210"/>
      <c r="E30" s="230"/>
      <c r="F30" s="233"/>
      <c r="G30" s="233"/>
      <c r="H30" s="233"/>
      <c r="I30" s="233"/>
      <c r="J30" s="233"/>
      <c r="K30" s="206"/>
      <c r="M30" s="316"/>
      <c r="N30" s="317"/>
      <c r="O30" s="317"/>
      <c r="P30" s="317"/>
      <c r="Q30" s="317"/>
      <c r="R30" s="317"/>
    </row>
    <row r="31" spans="1:18" s="212" customFormat="1" ht="12" customHeight="1" x14ac:dyDescent="0.15">
      <c r="A31" s="208" t="str">
        <f>'Financial History'!A49</f>
        <v>Purchases of property &amp; equip., &amp; other capital expenditures</v>
      </c>
      <c r="B31" s="209"/>
      <c r="C31" s="209"/>
      <c r="D31" s="210"/>
      <c r="E31" s="230">
        <f>'Financial History'!$C$49</f>
        <v>-16861000</v>
      </c>
      <c r="F31" s="305"/>
      <c r="G31" s="305">
        <v>0</v>
      </c>
      <c r="H31" s="305">
        <v>0</v>
      </c>
      <c r="I31" s="305">
        <v>0</v>
      </c>
      <c r="J31" s="305">
        <v>0</v>
      </c>
      <c r="K31" s="206">
        <f>SUM(E31:J31)</f>
        <v>-16861000</v>
      </c>
      <c r="L31" s="109"/>
      <c r="M31" s="361"/>
      <c r="N31" s="317"/>
      <c r="O31" s="317"/>
      <c r="P31" s="317"/>
      <c r="Q31" s="317"/>
      <c r="R31" s="317"/>
    </row>
    <row r="32" spans="1:18" s="212" customFormat="1" ht="18" customHeight="1" x14ac:dyDescent="0.3">
      <c r="A32" s="208" t="str">
        <f>'Financial History'!A50</f>
        <v>Other Investing Activities</v>
      </c>
      <c r="B32" s="209"/>
      <c r="C32" s="209"/>
      <c r="D32" s="210"/>
      <c r="E32" s="232">
        <f>'Financial History'!$C$50</f>
        <v>-7420000</v>
      </c>
      <c r="F32" s="406"/>
      <c r="G32" s="406">
        <v>0</v>
      </c>
      <c r="H32" s="406">
        <v>0</v>
      </c>
      <c r="I32" s="406">
        <v>0</v>
      </c>
      <c r="J32" s="406">
        <v>0</v>
      </c>
      <c r="K32" s="306">
        <f>SUM(E32:J32)</f>
        <v>-7420000</v>
      </c>
      <c r="M32" s="316"/>
      <c r="N32" s="317"/>
      <c r="O32" s="317"/>
      <c r="P32" s="317"/>
      <c r="Q32" s="317"/>
      <c r="R32" s="317"/>
    </row>
    <row r="33" spans="1:18" s="212" customFormat="1" ht="12" customHeight="1" x14ac:dyDescent="0.15">
      <c r="A33" s="208" t="str">
        <f>'Financial History'!A51</f>
        <v>Cash Flow from Investing Activities</v>
      </c>
      <c r="B33" s="209"/>
      <c r="C33" s="209"/>
      <c r="D33" s="210"/>
      <c r="E33" s="230">
        <f>'Financial History'!C51</f>
        <v>-24281000</v>
      </c>
      <c r="F33" s="233">
        <f t="shared" ref="F33:J33" si="10">SUM(F31:F32)</f>
        <v>0</v>
      </c>
      <c r="G33" s="233">
        <f t="shared" si="10"/>
        <v>0</v>
      </c>
      <c r="H33" s="233">
        <f t="shared" si="10"/>
        <v>0</v>
      </c>
      <c r="I33" s="233">
        <f t="shared" si="10"/>
        <v>0</v>
      </c>
      <c r="J33" s="233">
        <f t="shared" si="10"/>
        <v>0</v>
      </c>
      <c r="K33" s="206">
        <f>SUM(E33:J33)</f>
        <v>-24281000</v>
      </c>
      <c r="M33" s="316"/>
      <c r="N33" s="317"/>
      <c r="O33" s="317"/>
      <c r="P33" s="317"/>
      <c r="Q33" s="317"/>
      <c r="R33" s="317"/>
    </row>
    <row r="34" spans="1:18" s="212" customFormat="1" ht="12" customHeight="1" x14ac:dyDescent="0.15">
      <c r="A34" s="208"/>
      <c r="B34" s="209"/>
      <c r="C34" s="209"/>
      <c r="D34" s="210"/>
      <c r="E34" s="230"/>
      <c r="F34" s="233"/>
      <c r="G34" s="233"/>
      <c r="H34" s="233"/>
      <c r="I34" s="233"/>
      <c r="J34" s="233"/>
      <c r="K34" s="206"/>
      <c r="M34" s="316"/>
      <c r="N34" s="317"/>
      <c r="O34" s="317"/>
      <c r="P34" s="317"/>
      <c r="Q34" s="317"/>
      <c r="R34" s="317"/>
    </row>
    <row r="35" spans="1:18" s="212" customFormat="1" ht="12" customHeight="1" x14ac:dyDescent="0.15">
      <c r="A35" s="208" t="str">
        <f>'Financial History'!A53</f>
        <v>Increase or (Decrease) in Debt</v>
      </c>
      <c r="B35" s="209"/>
      <c r="C35" s="209"/>
      <c r="D35" s="210"/>
      <c r="E35" s="230" t="e">
        <f>'Financial History'!#REF!</f>
        <v>#REF!</v>
      </c>
      <c r="F35" s="305"/>
      <c r="G35" s="305">
        <v>0</v>
      </c>
      <c r="H35" s="305">
        <v>0</v>
      </c>
      <c r="I35" s="305">
        <v>0</v>
      </c>
      <c r="J35" s="305">
        <v>0</v>
      </c>
      <c r="K35" s="206" t="e">
        <f>SUM(E35:J35)</f>
        <v>#REF!</v>
      </c>
      <c r="M35" s="316"/>
      <c r="N35" s="317"/>
      <c r="O35" s="317"/>
      <c r="P35" s="317"/>
      <c r="Q35" s="317"/>
      <c r="R35" s="317"/>
    </row>
    <row r="36" spans="1:18" s="212" customFormat="1" ht="12" customHeight="1" x14ac:dyDescent="0.15">
      <c r="A36" s="208" t="str">
        <f>'Financial History'!A54</f>
        <v>Increase or (Decrease) in Common Stock</v>
      </c>
      <c r="B36" s="209"/>
      <c r="C36" s="209"/>
      <c r="D36" s="210"/>
      <c r="E36" s="230">
        <f>'Financial History'!C53</f>
        <v>-12339000</v>
      </c>
      <c r="F36" s="305"/>
      <c r="G36" s="305">
        <v>0</v>
      </c>
      <c r="H36" s="305">
        <v>0</v>
      </c>
      <c r="I36" s="305">
        <v>0</v>
      </c>
      <c r="J36" s="305">
        <v>0</v>
      </c>
      <c r="K36" s="206">
        <f>SUM(E36:J36)</f>
        <v>-12339000</v>
      </c>
      <c r="L36" s="405"/>
      <c r="M36" s="316"/>
      <c r="N36" s="317"/>
      <c r="O36" s="317"/>
      <c r="P36" s="317"/>
      <c r="Q36" s="317"/>
      <c r="R36" s="317"/>
    </row>
    <row r="37" spans="1:18" s="212" customFormat="1" ht="15" customHeight="1" x14ac:dyDescent="0.15">
      <c r="A37" s="208" t="str">
        <f>'Financial History'!A55</f>
        <v>Dividend Payments</v>
      </c>
      <c r="B37" s="209"/>
      <c r="C37" s="209"/>
      <c r="D37" s="210"/>
      <c r="E37" s="230">
        <f>'Financial History'!$C$55</f>
        <v>0</v>
      </c>
      <c r="F37" s="305"/>
      <c r="G37" s="305">
        <v>0</v>
      </c>
      <c r="H37" s="305">
        <v>0</v>
      </c>
      <c r="I37" s="305">
        <v>0</v>
      </c>
      <c r="J37" s="305">
        <v>0</v>
      </c>
      <c r="K37" s="206">
        <f>SUM(E37:J37)</f>
        <v>0</v>
      </c>
      <c r="M37" s="389" t="s">
        <v>238</v>
      </c>
      <c r="N37" s="317"/>
      <c r="O37" s="317"/>
      <c r="P37" s="317"/>
      <c r="Q37" s="317"/>
      <c r="R37" s="317"/>
    </row>
    <row r="38" spans="1:18" s="212" customFormat="1" ht="15" customHeight="1" x14ac:dyDescent="0.3">
      <c r="A38" s="208" t="str">
        <f>'Financial History'!A56</f>
        <v>Other Financing Activities</v>
      </c>
      <c r="B38" s="209"/>
      <c r="C38" s="209"/>
      <c r="D38" s="210"/>
      <c r="E38" s="232">
        <f>'Financial History'!$C$56</f>
        <v>11737000</v>
      </c>
      <c r="F38" s="318"/>
      <c r="G38" s="318">
        <v>0</v>
      </c>
      <c r="H38" s="318">
        <v>0</v>
      </c>
      <c r="I38" s="318">
        <v>0</v>
      </c>
      <c r="J38" s="318">
        <v>0</v>
      </c>
      <c r="K38" s="306">
        <f>SUM(E38:J38)</f>
        <v>11737000</v>
      </c>
      <c r="M38" s="316"/>
      <c r="N38" s="317"/>
      <c r="O38" s="317"/>
      <c r="P38" s="317"/>
      <c r="Q38" s="317"/>
      <c r="R38" s="317"/>
    </row>
    <row r="39" spans="1:18" s="212" customFormat="1" ht="12" customHeight="1" x14ac:dyDescent="0.15">
      <c r="A39" s="208" t="str">
        <f>'Financial History'!A57</f>
        <v>Cash Flow from Financing Activities</v>
      </c>
      <c r="B39" s="209"/>
      <c r="C39" s="209"/>
      <c r="D39" s="210"/>
      <c r="E39" s="230">
        <f>'Financial History'!C57</f>
        <v>10066000</v>
      </c>
      <c r="F39" s="233">
        <f t="shared" ref="F39:J39" si="11">SUM(F35:F38)</f>
        <v>0</v>
      </c>
      <c r="G39" s="233">
        <f t="shared" si="11"/>
        <v>0</v>
      </c>
      <c r="H39" s="233">
        <f t="shared" si="11"/>
        <v>0</v>
      </c>
      <c r="I39" s="233">
        <f t="shared" si="11"/>
        <v>0</v>
      </c>
      <c r="J39" s="233">
        <f t="shared" si="11"/>
        <v>0</v>
      </c>
      <c r="K39" s="206">
        <f>SUM(E39:J39)</f>
        <v>10066000</v>
      </c>
      <c r="M39" s="316"/>
      <c r="N39" s="317"/>
      <c r="O39" s="317"/>
      <c r="P39" s="317"/>
      <c r="Q39" s="317"/>
      <c r="R39" s="317"/>
    </row>
    <row r="40" spans="1:18" s="212" customFormat="1" ht="12" customHeight="1" x14ac:dyDescent="0.15">
      <c r="A40" s="208"/>
      <c r="B40" s="209"/>
      <c r="C40" s="209"/>
      <c r="D40" s="210"/>
      <c r="E40" s="230"/>
      <c r="F40" s="233"/>
      <c r="G40" s="233"/>
      <c r="H40" s="233"/>
      <c r="I40" s="233"/>
      <c r="J40" s="233"/>
      <c r="K40" s="206"/>
      <c r="M40" s="316"/>
      <c r="N40" s="317"/>
      <c r="O40" s="317"/>
      <c r="P40" s="317"/>
      <c r="Q40" s="317"/>
      <c r="R40" s="317"/>
    </row>
    <row r="41" spans="1:18" s="212" customFormat="1" ht="16.5" customHeight="1" thickBot="1" x14ac:dyDescent="0.35">
      <c r="A41" s="208" t="s">
        <v>113</v>
      </c>
      <c r="B41" s="209"/>
      <c r="C41" s="209"/>
      <c r="D41" s="210"/>
      <c r="E41" s="232">
        <f>'Financial History'!$C$59</f>
        <v>0</v>
      </c>
      <c r="F41" s="393">
        <f>E41</f>
        <v>0</v>
      </c>
      <c r="G41" s="393">
        <f t="shared" ref="G41:J41" si="12">F41</f>
        <v>0</v>
      </c>
      <c r="H41" s="393">
        <f t="shared" si="12"/>
        <v>0</v>
      </c>
      <c r="I41" s="393">
        <f t="shared" si="12"/>
        <v>0</v>
      </c>
      <c r="J41" s="393">
        <f t="shared" si="12"/>
        <v>0</v>
      </c>
      <c r="K41" s="306">
        <f>SUM(E41:J41)</f>
        <v>0</v>
      </c>
      <c r="M41" s="389" t="s">
        <v>265</v>
      </c>
      <c r="N41" s="317"/>
      <c r="O41" s="317"/>
      <c r="P41" s="317"/>
      <c r="Q41" s="317"/>
      <c r="R41" s="317"/>
    </row>
    <row r="42" spans="1:18" s="212" customFormat="1" ht="15.75" customHeight="1" thickBot="1" x14ac:dyDescent="0.2">
      <c r="A42" s="378" t="s">
        <v>21</v>
      </c>
      <c r="B42" s="379"/>
      <c r="C42" s="379"/>
      <c r="D42" s="380"/>
      <c r="E42" s="381">
        <f>'Financial History'!C60</f>
        <v>4237000</v>
      </c>
      <c r="F42" s="382">
        <f t="shared" ref="F42:J42" si="13">SUM(F29,F33,F39:F41)</f>
        <v>280522000</v>
      </c>
      <c r="G42" s="382">
        <f t="shared" si="13"/>
        <v>280522000</v>
      </c>
      <c r="H42" s="382">
        <f t="shared" si="13"/>
        <v>280522000</v>
      </c>
      <c r="I42" s="382">
        <f t="shared" si="13"/>
        <v>280522000</v>
      </c>
      <c r="J42" s="382">
        <f t="shared" si="13"/>
        <v>280522000</v>
      </c>
      <c r="K42" s="373">
        <f>SUM(E42:J42)</f>
        <v>1406847000</v>
      </c>
      <c r="M42" s="316"/>
      <c r="N42" s="317"/>
      <c r="O42" s="317"/>
      <c r="P42" s="317"/>
      <c r="Q42" s="317"/>
      <c r="R42" s="317"/>
    </row>
    <row r="43" spans="1:18" s="323" customFormat="1" ht="14.25" customHeight="1" x14ac:dyDescent="0.15">
      <c r="A43" s="408" t="s">
        <v>141</v>
      </c>
      <c r="B43" s="209"/>
      <c r="C43" s="209"/>
      <c r="D43" s="210"/>
      <c r="E43" s="230">
        <f>'Financial History'!C62</f>
        <v>21653000</v>
      </c>
      <c r="F43" s="233">
        <f t="shared" ref="F43:J43" si="14">F29+F31</f>
        <v>280522000</v>
      </c>
      <c r="G43" s="233">
        <f t="shared" si="14"/>
        <v>280522000</v>
      </c>
      <c r="H43" s="233">
        <f t="shared" si="14"/>
        <v>280522000</v>
      </c>
      <c r="I43" s="233">
        <f t="shared" si="14"/>
        <v>280522000</v>
      </c>
      <c r="J43" s="233">
        <f t="shared" si="14"/>
        <v>280522000</v>
      </c>
      <c r="K43" s="206">
        <f>SUM(E43:J43)</f>
        <v>1424263000</v>
      </c>
      <c r="M43" s="316"/>
      <c r="N43" s="317"/>
      <c r="O43" s="317"/>
      <c r="P43" s="317"/>
      <c r="Q43" s="317"/>
      <c r="R43" s="317"/>
    </row>
    <row r="44" spans="1:18" s="216" customFormat="1" ht="12" customHeight="1" x14ac:dyDescent="0.15">
      <c r="A44" s="325"/>
      <c r="B44" s="326"/>
      <c r="C44" s="326"/>
      <c r="D44" s="219"/>
      <c r="E44" s="218"/>
      <c r="F44" s="219"/>
      <c r="G44" s="219"/>
      <c r="H44" s="219"/>
      <c r="I44" s="219"/>
      <c r="J44" s="219"/>
      <c r="K44" s="327"/>
      <c r="M44" s="316"/>
      <c r="N44" s="317"/>
      <c r="O44" s="317"/>
      <c r="P44" s="317"/>
      <c r="Q44" s="317"/>
      <c r="R44" s="317"/>
    </row>
    <row r="45" spans="1:18" s="216" customFormat="1" ht="12" customHeight="1" x14ac:dyDescent="0.15">
      <c r="A45" s="339" t="s">
        <v>184</v>
      </c>
      <c r="B45" s="340"/>
      <c r="C45" s="340"/>
      <c r="D45" s="341"/>
      <c r="E45" s="342"/>
      <c r="F45" s="342"/>
      <c r="G45" s="342"/>
      <c r="H45" s="342"/>
      <c r="I45" s="342"/>
      <c r="J45" s="342"/>
      <c r="K45" s="343"/>
      <c r="M45" s="316"/>
      <c r="N45" s="317"/>
      <c r="O45" s="317"/>
      <c r="P45" s="317"/>
      <c r="Q45" s="317"/>
      <c r="R45" s="317"/>
    </row>
    <row r="46" spans="1:18" s="216" customFormat="1" ht="12" customHeight="1" thickBot="1" x14ac:dyDescent="0.2">
      <c r="A46" s="217"/>
      <c r="B46" s="213"/>
      <c r="C46" s="213"/>
      <c r="D46" s="215"/>
      <c r="E46" s="214"/>
      <c r="F46" s="214"/>
      <c r="G46" s="214"/>
      <c r="H46" s="214"/>
      <c r="I46" s="214"/>
      <c r="J46" s="214"/>
      <c r="K46" s="215"/>
      <c r="M46" s="316"/>
      <c r="N46" s="317"/>
      <c r="O46" s="317"/>
      <c r="P46" s="317"/>
      <c r="Q46" s="317"/>
      <c r="R46" s="317"/>
    </row>
    <row r="47" spans="1:18" s="202" customFormat="1" ht="15" customHeight="1" thickBot="1" x14ac:dyDescent="0.2">
      <c r="A47" s="383" t="s">
        <v>293</v>
      </c>
      <c r="B47" s="384"/>
      <c r="C47" s="384"/>
      <c r="D47" s="385"/>
      <c r="E47" s="372">
        <f>E43</f>
        <v>21653000</v>
      </c>
      <c r="F47" s="372">
        <f t="shared" ref="F47:J47" si="15">F43</f>
        <v>280522000</v>
      </c>
      <c r="G47" s="372">
        <f t="shared" si="15"/>
        <v>280522000</v>
      </c>
      <c r="H47" s="372">
        <f t="shared" si="15"/>
        <v>280522000</v>
      </c>
      <c r="I47" s="372">
        <f t="shared" si="15"/>
        <v>280522000</v>
      </c>
      <c r="J47" s="372">
        <f t="shared" si="15"/>
        <v>280522000</v>
      </c>
      <c r="K47" s="373">
        <f>SUM(E47:J47)</f>
        <v>1424263000</v>
      </c>
      <c r="M47" s="389" t="s">
        <v>164</v>
      </c>
      <c r="N47" s="390"/>
      <c r="O47" s="390"/>
      <c r="P47" s="390"/>
      <c r="Q47" s="214"/>
      <c r="R47" s="214"/>
    </row>
    <row r="48" spans="1:18" s="202" customFormat="1" ht="12" customHeight="1" x14ac:dyDescent="0.15">
      <c r="A48" s="203"/>
      <c r="B48" s="328"/>
      <c r="C48" s="328"/>
      <c r="D48" s="206"/>
      <c r="E48" s="329"/>
      <c r="F48" s="214"/>
      <c r="G48" s="214"/>
      <c r="H48" s="214"/>
      <c r="I48" s="214"/>
      <c r="J48" s="214"/>
      <c r="K48" s="439"/>
      <c r="M48" s="389"/>
      <c r="N48" s="390"/>
      <c r="O48" s="390"/>
      <c r="P48" s="390"/>
      <c r="Q48" s="214"/>
      <c r="R48" s="214"/>
    </row>
    <row r="49" spans="1:108" s="202" customFormat="1" ht="12" customHeight="1" x14ac:dyDescent="0.15">
      <c r="A49" s="203" t="s">
        <v>277</v>
      </c>
      <c r="B49" s="328"/>
      <c r="C49" s="328"/>
      <c r="D49" s="206"/>
      <c r="E49" s="329"/>
      <c r="F49" s="214"/>
      <c r="G49" s="214"/>
      <c r="H49" s="214"/>
      <c r="I49" s="214"/>
      <c r="J49" s="214"/>
      <c r="K49" s="205"/>
      <c r="M49" s="389"/>
      <c r="N49" s="390"/>
      <c r="O49" s="390"/>
      <c r="P49" s="390"/>
      <c r="Q49" s="214"/>
      <c r="R49" s="214"/>
    </row>
    <row r="50" spans="1:108" s="221" customFormat="1" ht="12" customHeight="1" x14ac:dyDescent="0.15">
      <c r="A50" s="330" t="s">
        <v>22</v>
      </c>
      <c r="B50" s="224"/>
      <c r="C50" s="423" t="s">
        <v>267</v>
      </c>
      <c r="D50" s="337">
        <v>0.05</v>
      </c>
      <c r="E50" s="459">
        <f>NPV($D50,F$47:J$47)</f>
        <v>1214513454.5986989</v>
      </c>
      <c r="F50" s="459"/>
      <c r="G50" s="331" t="s">
        <v>284</v>
      </c>
      <c r="H50" s="332"/>
      <c r="I50" s="332"/>
      <c r="J50" s="332"/>
      <c r="K50" s="332"/>
      <c r="M50" s="389"/>
      <c r="N50" s="390"/>
      <c r="O50" s="390"/>
      <c r="P50" s="390"/>
      <c r="Q50" s="214"/>
      <c r="R50" s="214"/>
    </row>
    <row r="51" spans="1:108" s="221" customFormat="1" ht="12" customHeight="1" x14ac:dyDescent="0.15">
      <c r="A51" s="330" t="s">
        <v>22</v>
      </c>
      <c r="B51" s="224"/>
      <c r="C51" s="423" t="s">
        <v>267</v>
      </c>
      <c r="D51" s="337">
        <v>0.1</v>
      </c>
      <c r="E51" s="459">
        <f>NPV($D51,F$47:J$47)</f>
        <v>1063399086.1279963</v>
      </c>
      <c r="F51" s="459"/>
      <c r="G51" s="331" t="s">
        <v>285</v>
      </c>
      <c r="H51" s="332"/>
      <c r="I51" s="332"/>
      <c r="J51" s="332"/>
      <c r="K51" s="332"/>
      <c r="M51" s="389"/>
      <c r="N51" s="390"/>
      <c r="O51" s="390"/>
      <c r="P51" s="390"/>
      <c r="Q51" s="214"/>
      <c r="R51" s="214"/>
    </row>
    <row r="52" spans="1:108" s="221" customFormat="1" ht="12" customHeight="1" x14ac:dyDescent="0.15">
      <c r="A52" s="330" t="s">
        <v>22</v>
      </c>
      <c r="B52" s="224"/>
      <c r="C52" s="423" t="s">
        <v>267</v>
      </c>
      <c r="D52" s="337">
        <v>0.18</v>
      </c>
      <c r="E52" s="459">
        <f>NPV($D52,F$47:J$47)</f>
        <v>877240269.13666296</v>
      </c>
      <c r="F52" s="459"/>
      <c r="G52" s="331" t="s">
        <v>286</v>
      </c>
      <c r="H52" s="332"/>
      <c r="I52" s="332"/>
      <c r="J52" s="332"/>
      <c r="K52" s="332"/>
      <c r="M52" s="389"/>
      <c r="N52" s="390"/>
      <c r="O52" s="390"/>
      <c r="P52" s="390"/>
      <c r="Q52" s="214"/>
      <c r="R52" s="214"/>
    </row>
    <row r="53" spans="1:108" s="221" customFormat="1" ht="12" customHeight="1" x14ac:dyDescent="0.15">
      <c r="A53" s="330"/>
      <c r="B53" s="224"/>
      <c r="C53" s="224"/>
      <c r="D53" s="337"/>
      <c r="E53" s="333"/>
      <c r="F53" s="333"/>
      <c r="G53" s="331"/>
      <c r="H53" s="332"/>
      <c r="I53" s="332"/>
      <c r="J53" s="332"/>
      <c r="K53" s="332"/>
      <c r="M53" s="389"/>
      <c r="N53" s="390"/>
      <c r="O53" s="390"/>
      <c r="P53" s="390"/>
      <c r="Q53" s="214"/>
      <c r="R53" s="214"/>
    </row>
    <row r="54" spans="1:108" s="221" customFormat="1" ht="12" customHeight="1" x14ac:dyDescent="0.15">
      <c r="A54" s="330"/>
      <c r="B54" s="224"/>
      <c r="C54" s="224"/>
      <c r="D54" s="337"/>
      <c r="E54" s="425"/>
      <c r="F54" s="425"/>
      <c r="G54" s="331"/>
      <c r="H54" s="332"/>
      <c r="I54" s="332"/>
      <c r="J54" s="332"/>
      <c r="K54" s="332"/>
      <c r="M54" s="389"/>
      <c r="N54" s="390"/>
      <c r="O54" s="390"/>
      <c r="P54" s="390"/>
      <c r="Q54" s="214"/>
      <c r="R54" s="214"/>
    </row>
    <row r="55" spans="1:108" s="221" customFormat="1" ht="12" customHeight="1" x14ac:dyDescent="0.15">
      <c r="A55" s="330" t="str">
        <f>"If you had bought the whole company at the end of fiscal "&amp;$E$7&amp;" for its actual market value of ---&gt;"</f>
        <v>If you had bought the whole company at the end of fiscal 2019 for its actual market value of ---&gt;</v>
      </c>
      <c r="B55" s="224"/>
      <c r="C55" s="224"/>
      <c r="D55" s="337"/>
      <c r="E55" s="333"/>
      <c r="F55" s="333"/>
      <c r="G55" s="331"/>
      <c r="H55" s="334">
        <f>'Financial History'!$C$33</f>
        <v>5840352000000000</v>
      </c>
      <c r="I55" s="332" t="s">
        <v>269</v>
      </c>
      <c r="J55" s="332"/>
      <c r="K55" s="332"/>
      <c r="M55" s="389"/>
      <c r="N55" s="390"/>
      <c r="O55" s="390"/>
      <c r="P55" s="390"/>
      <c r="Q55" s="214"/>
      <c r="R55" s="214"/>
    </row>
    <row r="56" spans="1:108" s="221" customFormat="1" ht="12" customHeight="1" x14ac:dyDescent="0.15">
      <c r="A56" s="330"/>
      <c r="B56" s="224"/>
      <c r="C56" s="224"/>
      <c r="D56" s="337"/>
      <c r="E56" s="333"/>
      <c r="F56" s="333"/>
      <c r="G56" s="331"/>
      <c r="H56" s="332"/>
      <c r="I56" s="332"/>
      <c r="J56" s="332"/>
      <c r="K56" s="332"/>
      <c r="M56" s="389"/>
      <c r="N56" s="390"/>
      <c r="O56" s="390"/>
      <c r="P56" s="390"/>
      <c r="Q56" s="214"/>
      <c r="R56" s="214"/>
    </row>
    <row r="57" spans="1:108" s="221" customFormat="1" ht="15" customHeight="1" x14ac:dyDescent="0.15">
      <c r="A57" s="223" t="s">
        <v>278</v>
      </c>
      <c r="B57" s="224"/>
      <c r="C57" s="224"/>
      <c r="D57" s="337"/>
      <c r="E57" s="329">
        <f>-$H$55</f>
        <v>-5840352000000000</v>
      </c>
      <c r="F57" s="214">
        <f>F$47</f>
        <v>280522000</v>
      </c>
      <c r="G57" s="214">
        <f t="shared" ref="G57:J57" si="16">G$47</f>
        <v>280522000</v>
      </c>
      <c r="H57" s="214">
        <f t="shared" si="16"/>
        <v>280522000</v>
      </c>
      <c r="I57" s="214">
        <f t="shared" si="16"/>
        <v>280522000</v>
      </c>
      <c r="J57" s="214">
        <f t="shared" si="16"/>
        <v>280522000</v>
      </c>
      <c r="K57" s="205">
        <f>SUM(E57:J57)</f>
        <v>-5840350597390000</v>
      </c>
      <c r="M57" s="389" t="s">
        <v>294</v>
      </c>
      <c r="N57" s="390"/>
      <c r="O57" s="390"/>
      <c r="P57" s="390"/>
      <c r="Q57" s="214"/>
      <c r="R57" s="214"/>
    </row>
    <row r="58" spans="1:108" s="202" customFormat="1" ht="15" customHeight="1" x14ac:dyDescent="0.15">
      <c r="A58" s="207" t="s">
        <v>280</v>
      </c>
      <c r="B58" s="328"/>
      <c r="C58" s="328"/>
      <c r="D58" s="206"/>
      <c r="E58" s="329">
        <f>-$H$55</f>
        <v>-5840352000000000</v>
      </c>
      <c r="F58" s="214">
        <f>E58+F47</f>
        <v>-5840351719478000</v>
      </c>
      <c r="G58" s="214">
        <f t="shared" ref="G58:J58" si="17">F58+G47</f>
        <v>-5840351438956000</v>
      </c>
      <c r="H58" s="214">
        <f t="shared" si="17"/>
        <v>-5840351158434000</v>
      </c>
      <c r="I58" s="214">
        <f t="shared" si="17"/>
        <v>-5840350877912000</v>
      </c>
      <c r="J58" s="214">
        <f t="shared" si="17"/>
        <v>-5840350597390000</v>
      </c>
      <c r="K58" s="205"/>
      <c r="M58" s="389"/>
      <c r="N58" s="390"/>
      <c r="O58" s="390"/>
      <c r="P58" s="390"/>
      <c r="Q58" s="214"/>
      <c r="R58" s="214"/>
    </row>
    <row r="59" spans="1:108" s="207" customFormat="1" ht="15" customHeight="1" x14ac:dyDescent="0.15">
      <c r="A59" s="207" t="s">
        <v>279</v>
      </c>
      <c r="E59" s="204"/>
      <c r="F59" s="204" t="b">
        <f>F58&gt;=0</f>
        <v>0</v>
      </c>
      <c r="G59" s="204" t="b">
        <f t="shared" ref="G59:J59" si="18">G58&gt;=0</f>
        <v>0</v>
      </c>
      <c r="H59" s="204" t="b">
        <f t="shared" si="18"/>
        <v>0</v>
      </c>
      <c r="I59" s="204" t="b">
        <f t="shared" si="18"/>
        <v>0</v>
      </c>
      <c r="J59" s="204" t="b">
        <f t="shared" si="18"/>
        <v>0</v>
      </c>
      <c r="K59" s="204"/>
      <c r="L59" s="204"/>
      <c r="M59" s="389" t="s">
        <v>287</v>
      </c>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c r="CV59" s="204"/>
      <c r="CW59" s="204"/>
      <c r="CX59" s="204"/>
      <c r="CY59" s="204"/>
      <c r="CZ59" s="204"/>
      <c r="DA59" s="204"/>
      <c r="DB59" s="204"/>
      <c r="DC59" s="204"/>
      <c r="DD59" s="204"/>
    </row>
    <row r="60" spans="1:108" s="202" customFormat="1" ht="15" customHeight="1" thickBot="1" x14ac:dyDescent="0.2">
      <c r="A60" s="207"/>
      <c r="B60" s="328"/>
      <c r="C60" s="328"/>
      <c r="D60" s="205"/>
      <c r="E60" s="329"/>
      <c r="F60" s="214"/>
      <c r="G60" s="214"/>
      <c r="H60" s="214"/>
      <c r="I60" s="214"/>
      <c r="J60" s="214"/>
      <c r="K60" s="205"/>
      <c r="M60" s="389"/>
      <c r="N60" s="390"/>
      <c r="O60" s="390"/>
      <c r="P60" s="390"/>
      <c r="Q60" s="214"/>
      <c r="R60" s="214"/>
    </row>
    <row r="61" spans="1:108" s="221" customFormat="1" ht="12" customHeight="1" thickBot="1" x14ac:dyDescent="0.2">
      <c r="A61" s="330" t="s">
        <v>271</v>
      </c>
      <c r="B61" s="224"/>
      <c r="C61" s="224"/>
      <c r="D61" s="224"/>
      <c r="E61" s="369" t="e">
        <f>IRR(E$57:J$57)</f>
        <v>#NUM!</v>
      </c>
      <c r="F61" s="370" t="s">
        <v>165</v>
      </c>
      <c r="G61" s="331" t="s">
        <v>295</v>
      </c>
      <c r="H61" s="332"/>
      <c r="I61" s="332"/>
      <c r="J61" s="332"/>
      <c r="K61" s="332"/>
      <c r="M61" s="389"/>
      <c r="N61" s="390"/>
      <c r="O61" s="390"/>
      <c r="P61" s="390"/>
      <c r="Q61" s="214"/>
      <c r="R61" s="214"/>
    </row>
    <row r="62" spans="1:108" s="221" customFormat="1" ht="12" customHeight="1" x14ac:dyDescent="0.15">
      <c r="A62" s="330"/>
      <c r="B62" s="224"/>
      <c r="C62" s="224"/>
      <c r="D62" s="338"/>
      <c r="E62" s="344"/>
      <c r="F62" s="345"/>
      <c r="G62" s="331"/>
      <c r="H62" s="332"/>
      <c r="I62" s="332"/>
      <c r="J62" s="332"/>
      <c r="K62" s="332"/>
      <c r="M62" s="389"/>
      <c r="N62" s="390"/>
      <c r="O62" s="390"/>
      <c r="P62" s="390"/>
      <c r="Q62" s="214"/>
      <c r="R62" s="214"/>
    </row>
    <row r="63" spans="1:108" s="221" customFormat="1" ht="12" customHeight="1" x14ac:dyDescent="0.15">
      <c r="A63" s="330" t="s">
        <v>185</v>
      </c>
      <c r="B63" s="224"/>
      <c r="C63" s="224"/>
      <c r="D63" s="338"/>
      <c r="E63" s="344"/>
      <c r="F63" s="345"/>
      <c r="G63" s="331"/>
      <c r="H63" s="332"/>
      <c r="I63" s="332"/>
      <c r="J63" s="332"/>
      <c r="K63" s="332"/>
      <c r="M63" s="389"/>
      <c r="N63" s="390"/>
      <c r="O63" s="390"/>
      <c r="P63" s="390"/>
      <c r="Q63" s="214"/>
      <c r="R63" s="214"/>
    </row>
    <row r="64" spans="1:108" s="221" customFormat="1" ht="12" customHeight="1" x14ac:dyDescent="0.15">
      <c r="A64" s="330"/>
      <c r="B64" s="224" t="s">
        <v>186</v>
      </c>
      <c r="C64" s="224"/>
      <c r="D64" s="338"/>
      <c r="E64" s="371">
        <f>'Capital Structure'!$D$17</f>
        <v>0</v>
      </c>
      <c r="F64" s="348" t="s">
        <v>273</v>
      </c>
      <c r="G64" s="331"/>
      <c r="H64" s="332"/>
      <c r="I64" s="332"/>
      <c r="J64" s="332"/>
      <c r="K64" s="332"/>
      <c r="M64" s="389"/>
      <c r="N64" s="390"/>
      <c r="O64" s="390"/>
      <c r="P64" s="390"/>
      <c r="Q64" s="214"/>
      <c r="R64" s="214"/>
    </row>
    <row r="65" spans="1:18" s="221" customFormat="1" ht="12" customHeight="1" thickBot="1" x14ac:dyDescent="0.2">
      <c r="A65" s="330"/>
      <c r="B65" s="224" t="s">
        <v>187</v>
      </c>
      <c r="C65" s="224"/>
      <c r="D65" s="338"/>
      <c r="E65" s="371" t="e">
        <f>$E$61</f>
        <v>#NUM!</v>
      </c>
      <c r="F65" s="348" t="s">
        <v>270</v>
      </c>
      <c r="G65" s="331"/>
      <c r="H65" s="332"/>
      <c r="I65" s="332"/>
      <c r="J65" s="332"/>
      <c r="K65" s="332"/>
      <c r="M65" s="389"/>
      <c r="N65" s="390"/>
      <c r="O65" s="390"/>
      <c r="P65" s="390"/>
      <c r="Q65" s="214"/>
      <c r="R65" s="214"/>
    </row>
    <row r="66" spans="1:18" s="221" customFormat="1" ht="12" customHeight="1" thickBot="1" x14ac:dyDescent="0.2">
      <c r="A66" s="335"/>
      <c r="B66" s="347" t="s">
        <v>188</v>
      </c>
      <c r="C66" s="336"/>
      <c r="D66" s="224"/>
      <c r="E66" s="369" t="e">
        <f>MIRR(E$57:J$57,$E64,$E65)</f>
        <v>#NUM!</v>
      </c>
      <c r="F66" s="370" t="s">
        <v>188</v>
      </c>
      <c r="G66" s="424"/>
      <c r="H66" s="332"/>
      <c r="I66" s="332"/>
      <c r="J66" s="332"/>
      <c r="K66" s="332"/>
      <c r="M66" s="389"/>
      <c r="N66" s="390"/>
      <c r="O66" s="390"/>
      <c r="P66" s="390"/>
      <c r="Q66" s="214"/>
      <c r="R66" s="214"/>
    </row>
    <row r="67" spans="1:18" s="221" customFormat="1" ht="12" customHeight="1" x14ac:dyDescent="0.15">
      <c r="A67" s="335"/>
      <c r="B67" s="347"/>
      <c r="C67" s="336"/>
      <c r="D67" s="338"/>
      <c r="E67" s="344"/>
      <c r="F67" s="345"/>
      <c r="G67" s="331"/>
      <c r="H67" s="332"/>
      <c r="I67" s="332"/>
      <c r="J67" s="332"/>
      <c r="K67" s="332"/>
      <c r="M67" s="389"/>
      <c r="N67" s="390"/>
      <c r="O67" s="390"/>
      <c r="P67" s="390"/>
      <c r="Q67" s="214"/>
      <c r="R67" s="214"/>
    </row>
    <row r="68" spans="1:18" s="221" customFormat="1" ht="12" customHeight="1" x14ac:dyDescent="0.15">
      <c r="A68" s="335"/>
      <c r="B68" s="347"/>
      <c r="C68" s="336"/>
      <c r="D68" s="338"/>
      <c r="E68" s="344"/>
      <c r="F68" s="345"/>
      <c r="G68" s="331"/>
      <c r="H68" s="332"/>
      <c r="I68" s="332"/>
      <c r="J68" s="332"/>
      <c r="K68" s="332"/>
      <c r="M68" s="389"/>
      <c r="N68" s="390"/>
      <c r="O68" s="390"/>
      <c r="P68" s="390"/>
      <c r="Q68" s="214"/>
      <c r="R68" s="214"/>
    </row>
    <row r="69" spans="1:18" s="221" customFormat="1" ht="12" customHeight="1" x14ac:dyDescent="0.15">
      <c r="A69" s="330" t="s">
        <v>189</v>
      </c>
      <c r="B69" s="347"/>
      <c r="C69" s="336"/>
      <c r="D69" s="338"/>
      <c r="E69" s="344"/>
      <c r="F69" s="345"/>
      <c r="G69" s="331"/>
      <c r="H69" s="332"/>
      <c r="I69" s="332"/>
      <c r="J69" s="332"/>
      <c r="K69" s="332"/>
      <c r="M69" s="389"/>
      <c r="N69" s="390"/>
      <c r="O69" s="390"/>
      <c r="P69" s="390"/>
      <c r="Q69" s="214"/>
      <c r="R69" s="214"/>
    </row>
    <row r="70" spans="1:18" s="221" customFormat="1" ht="12" customHeight="1" x14ac:dyDescent="0.15">
      <c r="A70" s="330"/>
      <c r="B70" s="224" t="s">
        <v>282</v>
      </c>
      <c r="C70" s="336"/>
      <c r="D70" s="338"/>
      <c r="E70" s="426">
        <v>0</v>
      </c>
      <c r="F70" s="426">
        <v>0</v>
      </c>
      <c r="G70" s="426">
        <v>0</v>
      </c>
      <c r="H70" s="426">
        <v>0</v>
      </c>
      <c r="I70" s="426">
        <v>0</v>
      </c>
      <c r="J70" s="426">
        <v>0</v>
      </c>
      <c r="K70" s="332"/>
      <c r="M70" s="389"/>
      <c r="N70" s="390"/>
      <c r="O70" s="390"/>
      <c r="P70" s="390"/>
      <c r="Q70" s="214"/>
      <c r="R70" s="214"/>
    </row>
    <row r="71" spans="1:18" s="221" customFormat="1" ht="12" customHeight="1" x14ac:dyDescent="0.15">
      <c r="A71" s="330"/>
      <c r="B71" s="224" t="s">
        <v>281</v>
      </c>
      <c r="C71" s="336"/>
      <c r="D71" s="338"/>
      <c r="E71" s="329">
        <f t="shared" ref="E71:J71" si="19">E14*(1-E70)</f>
        <v>14541000</v>
      </c>
      <c r="F71" s="329">
        <f t="shared" si="19"/>
        <v>280522000</v>
      </c>
      <c r="G71" s="329">
        <f t="shared" si="19"/>
        <v>280522000</v>
      </c>
      <c r="H71" s="329">
        <f t="shared" si="19"/>
        <v>280522000</v>
      </c>
      <c r="I71" s="329">
        <f t="shared" si="19"/>
        <v>280522000</v>
      </c>
      <c r="J71" s="329">
        <f t="shared" si="19"/>
        <v>280522000</v>
      </c>
      <c r="K71" s="205"/>
      <c r="M71" s="389" t="s">
        <v>283</v>
      </c>
      <c r="N71" s="390"/>
      <c r="O71" s="390"/>
      <c r="P71" s="390"/>
      <c r="Q71" s="214"/>
      <c r="R71" s="214"/>
    </row>
    <row r="72" spans="1:18" s="221" customFormat="1" ht="12" customHeight="1" x14ac:dyDescent="0.15">
      <c r="A72" s="330"/>
      <c r="B72" s="224" t="s">
        <v>190</v>
      </c>
      <c r="C72" s="336"/>
      <c r="D72" s="338"/>
      <c r="E72" s="329">
        <f>'Financial History'!C79-'Financial History'!C84</f>
        <v>137436000</v>
      </c>
      <c r="F72" s="305">
        <v>0</v>
      </c>
      <c r="G72" s="305">
        <v>0</v>
      </c>
      <c r="H72" s="305">
        <v>0</v>
      </c>
      <c r="I72" s="305">
        <v>0</v>
      </c>
      <c r="J72" s="305">
        <v>0</v>
      </c>
      <c r="K72" s="332"/>
      <c r="M72" s="389"/>
      <c r="N72" s="390"/>
      <c r="O72" s="390"/>
      <c r="P72" s="390"/>
      <c r="Q72" s="214"/>
      <c r="R72" s="214"/>
    </row>
    <row r="73" spans="1:18" s="221" customFormat="1" ht="12" customHeight="1" thickBot="1" x14ac:dyDescent="0.2">
      <c r="A73" s="330"/>
      <c r="B73" s="224" t="s">
        <v>191</v>
      </c>
      <c r="C73" s="336"/>
      <c r="D73" s="338"/>
      <c r="E73" s="346">
        <f>'Capital Structure'!$H$24</f>
        <v>0</v>
      </c>
      <c r="F73" s="436">
        <v>0</v>
      </c>
      <c r="G73" s="436">
        <v>0</v>
      </c>
      <c r="H73" s="436">
        <v>0</v>
      </c>
      <c r="I73" s="436">
        <v>0</v>
      </c>
      <c r="J73" s="436">
        <v>0</v>
      </c>
      <c r="K73" s="332"/>
      <c r="M73" s="389"/>
      <c r="N73" s="390"/>
      <c r="O73" s="390"/>
      <c r="P73" s="390"/>
      <c r="Q73" s="214"/>
      <c r="R73" s="214"/>
    </row>
    <row r="74" spans="1:18" s="221" customFormat="1" ht="16.5" customHeight="1" x14ac:dyDescent="0.15">
      <c r="A74" s="435"/>
      <c r="B74" s="430" t="s">
        <v>288</v>
      </c>
      <c r="C74" s="431"/>
      <c r="D74" s="432"/>
      <c r="E74" s="433">
        <f>E71-(E72*$E73)</f>
        <v>14541000</v>
      </c>
      <c r="F74" s="433">
        <f t="shared" ref="F74:J74" si="20">F71-(F72*$E73)</f>
        <v>280522000</v>
      </c>
      <c r="G74" s="433">
        <f t="shared" si="20"/>
        <v>280522000</v>
      </c>
      <c r="H74" s="433">
        <f t="shared" si="20"/>
        <v>280522000</v>
      </c>
      <c r="I74" s="433">
        <f t="shared" si="20"/>
        <v>280522000</v>
      </c>
      <c r="J74" s="433">
        <f t="shared" si="20"/>
        <v>280522000</v>
      </c>
      <c r="K74" s="434"/>
      <c r="M74" s="389" t="s">
        <v>192</v>
      </c>
      <c r="N74" s="390"/>
      <c r="O74" s="390"/>
      <c r="P74" s="390"/>
      <c r="Q74" s="214"/>
      <c r="R74" s="214"/>
    </row>
    <row r="75" spans="1:18" s="221" customFormat="1" ht="16.5" customHeight="1" x14ac:dyDescent="0.15">
      <c r="A75" s="427"/>
      <c r="B75" s="345"/>
      <c r="C75" s="428"/>
      <c r="D75" s="428"/>
      <c r="E75" s="329"/>
      <c r="F75" s="214"/>
      <c r="G75" s="214"/>
      <c r="H75" s="214"/>
      <c r="I75" s="214"/>
      <c r="J75" s="214"/>
      <c r="K75" s="214"/>
      <c r="M75" s="389"/>
      <c r="N75" s="390"/>
      <c r="O75" s="390"/>
      <c r="P75" s="390"/>
      <c r="Q75" s="214"/>
      <c r="R75" s="214"/>
    </row>
    <row r="76" spans="1:18" s="221" customFormat="1" ht="15.75" customHeight="1" x14ac:dyDescent="0.15">
      <c r="A76" s="427"/>
      <c r="B76" s="348"/>
      <c r="C76" s="428"/>
      <c r="D76" s="428"/>
      <c r="E76" s="429"/>
      <c r="F76" s="214"/>
      <c r="G76" s="214"/>
      <c r="H76" s="214"/>
      <c r="I76" s="214"/>
      <c r="J76" s="214"/>
      <c r="K76" s="214"/>
      <c r="M76" s="389"/>
      <c r="N76" s="390"/>
      <c r="O76" s="390"/>
      <c r="P76" s="390"/>
      <c r="Q76" s="214"/>
      <c r="R76" s="214"/>
    </row>
    <row r="77" spans="1:18" s="221" customFormat="1" ht="12" customHeight="1" x14ac:dyDescent="0.15">
      <c r="E77" s="225"/>
      <c r="F77" s="225"/>
      <c r="G77" s="225"/>
      <c r="H77" s="225"/>
      <c r="I77" s="225"/>
      <c r="J77" s="225"/>
      <c r="K77" s="225"/>
      <c r="M77" s="348"/>
      <c r="N77" s="348"/>
      <c r="O77" s="348"/>
      <c r="P77" s="348"/>
      <c r="Q77" s="348"/>
      <c r="R77" s="348"/>
    </row>
    <row r="78" spans="1:18" s="221" customFormat="1" ht="12" customHeight="1" x14ac:dyDescent="0.15">
      <c r="A78" s="220" t="s">
        <v>13</v>
      </c>
      <c r="E78" s="437" t="s">
        <v>290</v>
      </c>
      <c r="F78" s="222"/>
      <c r="G78" s="222"/>
      <c r="H78" s="222"/>
      <c r="I78" s="222"/>
      <c r="J78" s="222"/>
      <c r="K78" s="222"/>
      <c r="M78" s="348"/>
      <c r="N78" s="348"/>
      <c r="O78" s="348"/>
      <c r="P78" s="348"/>
      <c r="Q78" s="348"/>
      <c r="R78" s="348"/>
    </row>
    <row r="79" spans="1:18" s="221" customFormat="1" ht="12" customHeight="1" x14ac:dyDescent="0.15">
      <c r="A79" s="220"/>
      <c r="E79" s="437"/>
      <c r="F79" s="222"/>
      <c r="G79" s="222"/>
      <c r="H79" s="222"/>
      <c r="I79" s="222"/>
      <c r="J79" s="222"/>
      <c r="K79" s="222"/>
      <c r="M79" s="348"/>
      <c r="N79" s="348"/>
      <c r="O79" s="348"/>
      <c r="P79" s="348"/>
      <c r="Q79" s="348"/>
      <c r="R79" s="348"/>
    </row>
    <row r="80" spans="1:18" s="221" customFormat="1" ht="12" customHeight="1" x14ac:dyDescent="0.15">
      <c r="A80" s="220"/>
      <c r="E80" s="222" t="s">
        <v>289</v>
      </c>
      <c r="F80" s="222"/>
      <c r="G80" s="222"/>
      <c r="H80" s="222"/>
      <c r="I80" s="222"/>
      <c r="J80" s="222"/>
      <c r="K80" s="222"/>
      <c r="M80" s="348"/>
      <c r="N80" s="348"/>
      <c r="O80" s="348"/>
      <c r="P80" s="348"/>
      <c r="Q80" s="348"/>
      <c r="R80" s="348"/>
    </row>
    <row r="81" spans="1:18" s="221" customFormat="1" ht="12" customHeight="1" x14ac:dyDescent="0.15">
      <c r="E81" s="437"/>
      <c r="F81" s="222"/>
      <c r="G81" s="222"/>
      <c r="H81" s="222"/>
      <c r="I81" s="222"/>
      <c r="J81" s="222"/>
      <c r="K81" s="222"/>
      <c r="M81" s="348"/>
      <c r="N81" s="348"/>
      <c r="O81" s="348"/>
      <c r="P81" s="348"/>
      <c r="Q81" s="348"/>
      <c r="R81" s="348"/>
    </row>
    <row r="82" spans="1:18" s="221" customFormat="1" ht="12" customHeight="1" x14ac:dyDescent="0.15">
      <c r="E82" s="222" t="s">
        <v>166</v>
      </c>
      <c r="F82" s="222"/>
      <c r="G82" s="222"/>
      <c r="H82" s="222"/>
      <c r="I82" s="222"/>
      <c r="J82" s="222"/>
      <c r="K82" s="222"/>
      <c r="M82" s="348"/>
      <c r="N82" s="348"/>
      <c r="O82" s="348"/>
      <c r="P82" s="348"/>
      <c r="Q82" s="348"/>
      <c r="R82" s="348"/>
    </row>
    <row r="83" spans="1:18" s="221" customFormat="1" ht="12" customHeight="1" x14ac:dyDescent="0.15">
      <c r="E83" s="222" t="s">
        <v>167</v>
      </c>
      <c r="F83" s="222"/>
      <c r="G83" s="222"/>
      <c r="H83" s="222"/>
      <c r="I83" s="222"/>
      <c r="J83" s="222"/>
      <c r="K83" s="222"/>
      <c r="M83" s="348"/>
      <c r="N83" s="348"/>
      <c r="O83" s="348"/>
      <c r="P83" s="348"/>
      <c r="Q83" s="348"/>
      <c r="R83" s="348"/>
    </row>
    <row r="84" spans="1:18" s="221" customFormat="1" ht="12" customHeight="1" x14ac:dyDescent="0.15">
      <c r="E84" s="222"/>
      <c r="M84" s="348"/>
      <c r="N84" s="348"/>
      <c r="O84" s="348"/>
      <c r="P84" s="348"/>
      <c r="Q84" s="348"/>
      <c r="R84" s="348"/>
    </row>
    <row r="85" spans="1:18" ht="12" customHeight="1" x14ac:dyDescent="0.15">
      <c r="E85" s="222" t="s">
        <v>168</v>
      </c>
      <c r="M85" s="348"/>
      <c r="N85" s="376"/>
      <c r="O85" s="376"/>
      <c r="P85" s="376"/>
      <c r="Q85" s="376"/>
      <c r="R85" s="376"/>
    </row>
    <row r="86" spans="1:18" ht="12" customHeight="1" x14ac:dyDescent="0.15">
      <c r="E86" s="221" t="s">
        <v>272</v>
      </c>
      <c r="F86" s="222"/>
      <c r="G86" s="222"/>
      <c r="H86" s="222"/>
      <c r="I86" s="222"/>
      <c r="J86" s="222"/>
      <c r="K86" s="222"/>
      <c r="M86" s="348"/>
      <c r="N86" s="376"/>
      <c r="O86" s="376"/>
      <c r="P86" s="376"/>
      <c r="Q86" s="376"/>
      <c r="R86" s="376"/>
    </row>
    <row r="87" spans="1:18" ht="12" customHeight="1" x14ac:dyDescent="0.15">
      <c r="F87" s="222"/>
      <c r="G87" s="222"/>
      <c r="H87" s="222"/>
      <c r="I87" s="222"/>
      <c r="J87" s="222"/>
      <c r="K87" s="222"/>
      <c r="M87" s="348"/>
      <c r="N87" s="376"/>
      <c r="O87" s="376"/>
      <c r="P87" s="376"/>
      <c r="Q87" s="376"/>
      <c r="R87" s="376"/>
    </row>
    <row r="88" spans="1:18" ht="15" customHeight="1" x14ac:dyDescent="0.15">
      <c r="A88" s="242"/>
      <c r="E88" s="437"/>
      <c r="F88" s="222"/>
      <c r="G88" s="222"/>
      <c r="H88" s="222"/>
      <c r="I88" s="222"/>
      <c r="J88" s="222"/>
      <c r="K88" s="222"/>
      <c r="M88" s="348"/>
      <c r="N88" s="376"/>
      <c r="O88" s="376"/>
      <c r="P88" s="376"/>
      <c r="Q88" s="376"/>
      <c r="R88" s="376"/>
    </row>
    <row r="89" spans="1:18" ht="15" customHeight="1" x14ac:dyDescent="0.15">
      <c r="E89" s="222"/>
      <c r="F89" s="222"/>
      <c r="G89" s="222"/>
      <c r="H89" s="222"/>
      <c r="I89" s="222"/>
      <c r="J89" s="222"/>
      <c r="K89" s="222"/>
      <c r="M89" s="348"/>
      <c r="N89" s="376"/>
      <c r="O89" s="376"/>
      <c r="P89" s="376"/>
      <c r="Q89" s="376"/>
      <c r="R89" s="376"/>
    </row>
    <row r="90" spans="1:18" ht="15" customHeight="1" x14ac:dyDescent="0.15">
      <c r="E90" s="222"/>
      <c r="M90" s="348"/>
      <c r="N90" s="376"/>
      <c r="O90" s="376"/>
      <c r="P90" s="376"/>
      <c r="Q90" s="376"/>
      <c r="R90" s="376"/>
    </row>
    <row r="91" spans="1:18" x14ac:dyDescent="0.15">
      <c r="E91" s="222"/>
    </row>
  </sheetData>
  <sheetProtection insertRows="0" deleteRows="0"/>
  <mergeCells count="3">
    <mergeCell ref="E50:F50"/>
    <mergeCell ref="E51:F51"/>
    <mergeCell ref="E52:F52"/>
  </mergeCells>
  <printOptions horizontalCentered="1"/>
  <pageMargins left="0.25" right="0.25" top="0.6" bottom="0.75" header="0.3" footer="0.3"/>
  <pageSetup orientation="landscape" verticalDpi="0" r:id="rId1"/>
  <headerFooter>
    <oddFooter>&amp;L&amp;8&amp;F &amp;A&amp;C&amp;8Printed &amp;D&amp;R&amp;8Page &amp;P of &amp;N</oddFooter>
  </headerFooter>
  <rowBreaks count="1" manualBreakCount="1">
    <brk id="44" min="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N10"/>
  <sheetViews>
    <sheetView workbookViewId="0">
      <selection activeCell="G12" sqref="G12"/>
    </sheetView>
  </sheetViews>
  <sheetFormatPr baseColWidth="10" defaultColWidth="8.83203125" defaultRowHeight="13" x14ac:dyDescent="0.15"/>
  <cols>
    <col min="2" max="2" width="15.33203125" customWidth="1"/>
  </cols>
  <sheetData>
    <row r="4" spans="2:14" ht="14" x14ac:dyDescent="0.15">
      <c r="B4" s="3" t="s">
        <v>1</v>
      </c>
      <c r="C4" s="2">
        <v>1</v>
      </c>
      <c r="D4" s="2">
        <f>C4+1</f>
        <v>2</v>
      </c>
      <c r="E4" s="2">
        <f t="shared" ref="E4:N4" si="0">D4+1</f>
        <v>3</v>
      </c>
      <c r="F4" s="2">
        <f t="shared" si="0"/>
        <v>4</v>
      </c>
      <c r="G4" s="2">
        <f t="shared" si="0"/>
        <v>5</v>
      </c>
      <c r="H4" s="2">
        <f t="shared" si="0"/>
        <v>6</v>
      </c>
      <c r="I4" s="2">
        <f t="shared" si="0"/>
        <v>7</v>
      </c>
      <c r="J4" s="2">
        <f t="shared" si="0"/>
        <v>8</v>
      </c>
      <c r="K4" s="2">
        <f t="shared" si="0"/>
        <v>9</v>
      </c>
      <c r="L4" s="2">
        <f t="shared" si="0"/>
        <v>10</v>
      </c>
      <c r="M4" s="2">
        <f t="shared" si="0"/>
        <v>11</v>
      </c>
      <c r="N4" s="2">
        <f t="shared" si="0"/>
        <v>12</v>
      </c>
    </row>
    <row r="5" spans="2:14" ht="14" x14ac:dyDescent="0.15">
      <c r="B5" s="4" t="s">
        <v>0</v>
      </c>
      <c r="C5" s="5">
        <f>10%/12</f>
        <v>8.3333333333333332E-3</v>
      </c>
      <c r="D5" s="5">
        <f t="shared" ref="D5:N5" si="1">10%/12</f>
        <v>8.3333333333333332E-3</v>
      </c>
      <c r="E5" s="5">
        <f t="shared" si="1"/>
        <v>8.3333333333333332E-3</v>
      </c>
      <c r="F5" s="5">
        <f t="shared" si="1"/>
        <v>8.3333333333333332E-3</v>
      </c>
      <c r="G5" s="5">
        <f t="shared" si="1"/>
        <v>8.3333333333333332E-3</v>
      </c>
      <c r="H5" s="5">
        <f t="shared" si="1"/>
        <v>8.3333333333333332E-3</v>
      </c>
      <c r="I5" s="5">
        <f t="shared" si="1"/>
        <v>8.3333333333333332E-3</v>
      </c>
      <c r="J5" s="5">
        <f t="shared" si="1"/>
        <v>8.3333333333333332E-3</v>
      </c>
      <c r="K5" s="5">
        <f t="shared" si="1"/>
        <v>8.3333333333333332E-3</v>
      </c>
      <c r="L5" s="5">
        <f t="shared" si="1"/>
        <v>8.3333333333333332E-3</v>
      </c>
      <c r="M5" s="5">
        <f t="shared" si="1"/>
        <v>8.3333333333333332E-3</v>
      </c>
      <c r="N5" s="6">
        <f t="shared" si="1"/>
        <v>8.3333333333333332E-3</v>
      </c>
    </row>
    <row r="6" spans="2:14" ht="14" x14ac:dyDescent="0.15">
      <c r="B6" s="4" t="s">
        <v>2</v>
      </c>
      <c r="C6" s="7">
        <v>1000</v>
      </c>
      <c r="D6" s="7">
        <f>C8</f>
        <v>1008.3333333333334</v>
      </c>
      <c r="E6" s="7">
        <f t="shared" ref="E6:N6" si="2">D8</f>
        <v>1016.7361111111112</v>
      </c>
      <c r="F6" s="7">
        <f t="shared" si="2"/>
        <v>1025.2089120370372</v>
      </c>
      <c r="G6" s="7">
        <f t="shared" si="2"/>
        <v>1033.7523196373459</v>
      </c>
      <c r="H6" s="7">
        <f t="shared" si="2"/>
        <v>1042.3669223009904</v>
      </c>
      <c r="I6" s="7">
        <f t="shared" si="2"/>
        <v>1051.0533133201652</v>
      </c>
      <c r="J6" s="7">
        <f t="shared" si="2"/>
        <v>1059.8120909311665</v>
      </c>
      <c r="K6" s="7">
        <f t="shared" si="2"/>
        <v>1068.6438583555928</v>
      </c>
      <c r="L6" s="7">
        <f t="shared" si="2"/>
        <v>1077.5492238418894</v>
      </c>
      <c r="M6" s="7">
        <f t="shared" si="2"/>
        <v>1086.5288007072386</v>
      </c>
      <c r="N6" s="8">
        <f t="shared" si="2"/>
        <v>1095.583207379799</v>
      </c>
    </row>
    <row r="7" spans="2:14" ht="14" x14ac:dyDescent="0.15">
      <c r="B7" s="4" t="s">
        <v>3</v>
      </c>
      <c r="C7" s="9">
        <f>C6*C5</f>
        <v>8.3333333333333339</v>
      </c>
      <c r="D7" s="9">
        <f>D6*D5</f>
        <v>8.4027777777777786</v>
      </c>
      <c r="E7" s="9">
        <f t="shared" ref="E7:N7" si="3">E6*E5</f>
        <v>8.4728009259259274</v>
      </c>
      <c r="F7" s="9">
        <f t="shared" si="3"/>
        <v>8.5434076003086439</v>
      </c>
      <c r="G7" s="9">
        <f t="shared" si="3"/>
        <v>8.6146026636445487</v>
      </c>
      <c r="H7" s="9">
        <f t="shared" si="3"/>
        <v>8.6863910191749198</v>
      </c>
      <c r="I7" s="9">
        <f t="shared" si="3"/>
        <v>8.758777611001376</v>
      </c>
      <c r="J7" s="9">
        <f t="shared" si="3"/>
        <v>8.8317674244263866</v>
      </c>
      <c r="K7" s="9">
        <f t="shared" si="3"/>
        <v>8.9053654862966063</v>
      </c>
      <c r="L7" s="9">
        <f t="shared" si="3"/>
        <v>8.9795768653490793</v>
      </c>
      <c r="M7" s="9">
        <f t="shared" si="3"/>
        <v>9.0544066725603223</v>
      </c>
      <c r="N7" s="10">
        <f t="shared" si="3"/>
        <v>9.1298600614983254</v>
      </c>
    </row>
    <row r="8" spans="2:14" ht="14" x14ac:dyDescent="0.15">
      <c r="B8" s="11" t="s">
        <v>4</v>
      </c>
      <c r="C8" s="12">
        <f>C6+C7</f>
        <v>1008.3333333333334</v>
      </c>
      <c r="D8" s="12">
        <f>D6+D7</f>
        <v>1016.7361111111112</v>
      </c>
      <c r="E8" s="12">
        <f t="shared" ref="E8:N8" si="4">E6+E7</f>
        <v>1025.2089120370372</v>
      </c>
      <c r="F8" s="12">
        <f t="shared" si="4"/>
        <v>1033.7523196373459</v>
      </c>
      <c r="G8" s="12">
        <f t="shared" si="4"/>
        <v>1042.3669223009904</v>
      </c>
      <c r="H8" s="12">
        <f t="shared" si="4"/>
        <v>1051.0533133201652</v>
      </c>
      <c r="I8" s="12">
        <f t="shared" si="4"/>
        <v>1059.8120909311665</v>
      </c>
      <c r="J8" s="12">
        <f t="shared" si="4"/>
        <v>1068.6438583555928</v>
      </c>
      <c r="K8" s="12">
        <f t="shared" si="4"/>
        <v>1077.5492238418894</v>
      </c>
      <c r="L8" s="12">
        <f t="shared" si="4"/>
        <v>1086.5288007072386</v>
      </c>
      <c r="M8" s="12">
        <f t="shared" si="4"/>
        <v>1095.583207379799</v>
      </c>
      <c r="N8" s="13">
        <f t="shared" si="4"/>
        <v>1104.7130674412972</v>
      </c>
    </row>
    <row r="9" spans="2:14" x14ac:dyDescent="0.15">
      <c r="C9" s="1"/>
      <c r="D9" s="1"/>
      <c r="E9" s="1"/>
      <c r="F9" s="1"/>
      <c r="G9" s="1"/>
      <c r="H9" s="1"/>
      <c r="I9" s="1"/>
      <c r="J9" s="1"/>
      <c r="K9" s="1"/>
      <c r="L9" s="1"/>
      <c r="M9" s="1"/>
      <c r="N9" s="1"/>
    </row>
    <row r="10" spans="2:14" x14ac:dyDescent="0.15">
      <c r="C10" s="1"/>
      <c r="D10" s="1"/>
      <c r="E10" s="1"/>
      <c r="F10" s="1"/>
      <c r="G10" s="1"/>
      <c r="H10" s="1"/>
      <c r="I10" s="1"/>
      <c r="J10" s="1"/>
      <c r="K10" s="1"/>
      <c r="L10" s="1"/>
      <c r="M10" s="1"/>
      <c r="N10" s="1"/>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
  <sheetViews>
    <sheetView showGridLines="0" topLeftCell="A19" workbookViewId="0">
      <selection activeCell="D15" sqref="D15"/>
    </sheetView>
  </sheetViews>
  <sheetFormatPr baseColWidth="10" defaultColWidth="8.83203125" defaultRowHeight="12" customHeight="1" x14ac:dyDescent="0.15"/>
  <cols>
    <col min="1" max="1" width="2.6640625" style="60" customWidth="1"/>
    <col min="2" max="2" width="38.6640625" style="60" customWidth="1"/>
    <col min="3" max="3" width="11" style="60" customWidth="1"/>
    <col min="4" max="7" width="12.6640625" style="61" customWidth="1"/>
    <col min="8" max="16384" width="8.83203125" style="61"/>
  </cols>
  <sheetData>
    <row r="1" spans="1:7" s="59" customFormat="1" ht="12" customHeight="1" x14ac:dyDescent="0.15">
      <c r="A1" s="58" t="s">
        <v>42</v>
      </c>
      <c r="B1" s="58"/>
      <c r="C1" s="58"/>
    </row>
    <row r="3" spans="1:7" ht="12" customHeight="1" x14ac:dyDescent="0.15">
      <c r="A3" s="67" t="s">
        <v>43</v>
      </c>
    </row>
    <row r="4" spans="1:7" ht="12" customHeight="1" x14ac:dyDescent="0.15">
      <c r="A4" s="61" t="s">
        <v>20</v>
      </c>
      <c r="B4" s="60" t="s">
        <v>81</v>
      </c>
    </row>
    <row r="5" spans="1:7" ht="12" customHeight="1" x14ac:dyDescent="0.15">
      <c r="A5" s="60" t="s">
        <v>20</v>
      </c>
      <c r="B5" s="60" t="s">
        <v>68</v>
      </c>
    </row>
    <row r="6" spans="1:7" ht="12" customHeight="1" x14ac:dyDescent="0.15">
      <c r="A6" s="60" t="s">
        <v>20</v>
      </c>
      <c r="B6" s="60" t="s">
        <v>69</v>
      </c>
    </row>
    <row r="7" spans="1:7" ht="12" customHeight="1" x14ac:dyDescent="0.15">
      <c r="A7" s="60" t="s">
        <v>20</v>
      </c>
      <c r="B7" s="60" t="s">
        <v>76</v>
      </c>
    </row>
    <row r="9" spans="1:7" ht="12" customHeight="1" x14ac:dyDescent="0.15">
      <c r="A9" s="62"/>
      <c r="B9" s="63"/>
      <c r="C9" s="64"/>
      <c r="D9" s="65" t="s">
        <v>44</v>
      </c>
      <c r="E9" s="66" t="s">
        <v>45</v>
      </c>
      <c r="F9" s="66" t="s">
        <v>46</v>
      </c>
      <c r="G9" s="88" t="s">
        <v>60</v>
      </c>
    </row>
    <row r="10" spans="1:7" s="60" customFormat="1" ht="12" customHeight="1" x14ac:dyDescent="0.15">
      <c r="A10" s="76" t="s">
        <v>47</v>
      </c>
      <c r="B10" s="70" t="s">
        <v>74</v>
      </c>
      <c r="C10" s="84" t="s">
        <v>23</v>
      </c>
      <c r="D10" s="70">
        <v>-10000</v>
      </c>
      <c r="E10" s="70">
        <v>0</v>
      </c>
      <c r="F10" s="70">
        <f>-D10*0.05</f>
        <v>500</v>
      </c>
      <c r="G10" s="89">
        <f>SUM(D10:F10)</f>
        <v>-9500</v>
      </c>
    </row>
    <row r="11" spans="1:7" s="60" customFormat="1" ht="12" customHeight="1" x14ac:dyDescent="0.15">
      <c r="A11" s="77" t="s">
        <v>48</v>
      </c>
      <c r="B11" s="72" t="s">
        <v>82</v>
      </c>
      <c r="C11" s="85" t="s">
        <v>80</v>
      </c>
      <c r="D11" s="72">
        <v>4000</v>
      </c>
      <c r="E11" s="72">
        <f>D11</f>
        <v>4000</v>
      </c>
      <c r="F11" s="72">
        <f>E11</f>
        <v>4000</v>
      </c>
      <c r="G11" s="90">
        <f>SUM(D11:F11)</f>
        <v>12000</v>
      </c>
    </row>
    <row r="12" spans="1:7" s="68" customFormat="1" ht="12" customHeight="1" x14ac:dyDescent="0.15">
      <c r="A12" s="95" t="s">
        <v>59</v>
      </c>
      <c r="B12" s="80" t="s">
        <v>75</v>
      </c>
      <c r="C12" s="96" t="s">
        <v>49</v>
      </c>
      <c r="D12" s="80">
        <f>IF(D10=0,0,(SUM(D10:F10)/3))</f>
        <v>-3166.6666666666665</v>
      </c>
      <c r="E12" s="80">
        <f>D12</f>
        <v>-3166.6666666666665</v>
      </c>
      <c r="F12" s="80">
        <f t="shared" ref="F12" si="0">E12</f>
        <v>-3166.6666666666665</v>
      </c>
      <c r="G12" s="97">
        <f>SUM(D12:F12)</f>
        <v>-9500</v>
      </c>
    </row>
    <row r="13" spans="1:7" s="60" customFormat="1" ht="12" customHeight="1" x14ac:dyDescent="0.15">
      <c r="A13" s="87" t="s">
        <v>61</v>
      </c>
      <c r="B13" s="72"/>
      <c r="C13" s="85"/>
      <c r="D13" s="72"/>
      <c r="E13" s="72"/>
      <c r="F13" s="72"/>
      <c r="G13" s="90"/>
    </row>
    <row r="14" spans="1:7" s="60" customFormat="1" ht="12" customHeight="1" x14ac:dyDescent="0.15">
      <c r="A14" s="98" t="s">
        <v>70</v>
      </c>
      <c r="B14" s="70"/>
      <c r="C14" s="70"/>
      <c r="D14" s="70"/>
      <c r="E14" s="70"/>
      <c r="F14" s="70"/>
      <c r="G14" s="89"/>
    </row>
    <row r="15" spans="1:7" s="60" customFormat="1" ht="12" customHeight="1" x14ac:dyDescent="0.15">
      <c r="A15" s="71"/>
      <c r="B15" s="72" t="s">
        <v>39</v>
      </c>
      <c r="C15" s="72"/>
      <c r="D15" s="72">
        <f>D11</f>
        <v>4000</v>
      </c>
      <c r="E15" s="72">
        <f t="shared" ref="E15:F15" si="1">E11</f>
        <v>4000</v>
      </c>
      <c r="F15" s="72">
        <f t="shared" si="1"/>
        <v>4000</v>
      </c>
      <c r="G15" s="90">
        <f>SUM(D15:F15)</f>
        <v>12000</v>
      </c>
    </row>
    <row r="16" spans="1:7" s="68" customFormat="1" ht="12" customHeight="1" x14ac:dyDescent="0.15">
      <c r="A16" s="79"/>
      <c r="B16" s="80" t="s">
        <v>71</v>
      </c>
      <c r="C16" s="80"/>
      <c r="D16" s="78">
        <f>D10</f>
        <v>-10000</v>
      </c>
      <c r="E16" s="78">
        <f>E10</f>
        <v>0</v>
      </c>
      <c r="F16" s="78">
        <f>F10</f>
        <v>500</v>
      </c>
      <c r="G16" s="91">
        <f>SUM(D16:F16)</f>
        <v>-9500</v>
      </c>
    </row>
    <row r="17" spans="1:7" s="60" customFormat="1" ht="12" customHeight="1" x14ac:dyDescent="0.15">
      <c r="A17" s="71"/>
      <c r="B17" s="72" t="s">
        <v>63</v>
      </c>
      <c r="C17" s="72"/>
      <c r="D17" s="72">
        <f>SUM(D15:D16)</f>
        <v>-6000</v>
      </c>
      <c r="E17" s="72">
        <f>SUM(E15:E16)</f>
        <v>4000</v>
      </c>
      <c r="F17" s="72">
        <f>SUM(F15:F16)</f>
        <v>4500</v>
      </c>
      <c r="G17" s="90">
        <f>SUM(D17:F17)</f>
        <v>2500</v>
      </c>
    </row>
    <row r="18" spans="1:7" s="60" customFormat="1" ht="12" customHeight="1" x14ac:dyDescent="0.15">
      <c r="A18" s="71"/>
      <c r="B18" s="72"/>
      <c r="C18" s="72"/>
      <c r="D18" s="72"/>
      <c r="E18" s="72"/>
      <c r="F18" s="72"/>
      <c r="G18" s="90"/>
    </row>
    <row r="19" spans="1:7" s="60" customFormat="1" ht="12" customHeight="1" x14ac:dyDescent="0.15">
      <c r="A19" s="71"/>
      <c r="B19" s="72" t="s">
        <v>83</v>
      </c>
      <c r="C19" s="72"/>
      <c r="D19" s="73">
        <f>-0.4*D17</f>
        <v>2400</v>
      </c>
      <c r="E19" s="73">
        <f t="shared" ref="E19:F19" si="2">-0.4*E17</f>
        <v>-1600</v>
      </c>
      <c r="F19" s="73">
        <f t="shared" si="2"/>
        <v>-1800</v>
      </c>
      <c r="G19" s="92">
        <f>SUM(D19:F19)</f>
        <v>-1000</v>
      </c>
    </row>
    <row r="20" spans="1:7" s="60" customFormat="1" ht="12" customHeight="1" x14ac:dyDescent="0.15">
      <c r="A20" s="71"/>
      <c r="B20" s="72" t="s">
        <v>62</v>
      </c>
      <c r="C20" s="72"/>
      <c r="D20" s="72">
        <f>D17+D19</f>
        <v>-3600</v>
      </c>
      <c r="E20" s="72">
        <f t="shared" ref="E20:F20" si="3">E17+E19</f>
        <v>2400</v>
      </c>
      <c r="F20" s="72">
        <f t="shared" si="3"/>
        <v>2700</v>
      </c>
      <c r="G20" s="99">
        <f>SUM(D20:F20)</f>
        <v>1500</v>
      </c>
    </row>
    <row r="21" spans="1:7" s="60" customFormat="1" ht="12" customHeight="1" x14ac:dyDescent="0.15">
      <c r="A21" s="74"/>
      <c r="B21" s="86" t="s">
        <v>73</v>
      </c>
      <c r="C21" s="75"/>
      <c r="D21" s="86"/>
      <c r="E21" s="75"/>
      <c r="F21" s="75"/>
      <c r="G21" s="93"/>
    </row>
    <row r="22" spans="1:7" s="60" customFormat="1" ht="12" customHeight="1" x14ac:dyDescent="0.15">
      <c r="A22" s="98" t="s">
        <v>65</v>
      </c>
      <c r="B22" s="70"/>
      <c r="C22" s="70"/>
      <c r="D22" s="70"/>
      <c r="E22" s="70"/>
      <c r="F22" s="70"/>
      <c r="G22" s="89"/>
    </row>
    <row r="23" spans="1:7" s="60" customFormat="1" ht="12" customHeight="1" x14ac:dyDescent="0.15">
      <c r="A23" s="71"/>
      <c r="B23" s="72" t="s">
        <v>39</v>
      </c>
      <c r="C23" s="72"/>
      <c r="D23" s="72">
        <f>D15</f>
        <v>4000</v>
      </c>
      <c r="E23" s="72">
        <f t="shared" ref="E23:F23" si="4">E15</f>
        <v>4000</v>
      </c>
      <c r="F23" s="72">
        <f t="shared" si="4"/>
        <v>4000</v>
      </c>
      <c r="G23" s="90">
        <f>SUM(D23:F23)</f>
        <v>12000</v>
      </c>
    </row>
    <row r="24" spans="1:7" s="60" customFormat="1" ht="12" customHeight="1" x14ac:dyDescent="0.15">
      <c r="A24" s="71"/>
      <c r="B24" s="72" t="s">
        <v>72</v>
      </c>
      <c r="C24" s="72"/>
      <c r="D24" s="73">
        <f>D12</f>
        <v>-3166.6666666666665</v>
      </c>
      <c r="E24" s="73">
        <f t="shared" ref="E24:F24" si="5">E12</f>
        <v>-3166.6666666666665</v>
      </c>
      <c r="F24" s="73">
        <f t="shared" si="5"/>
        <v>-3166.6666666666665</v>
      </c>
      <c r="G24" s="92">
        <f>SUM(D24:F24)</f>
        <v>-9500</v>
      </c>
    </row>
    <row r="25" spans="1:7" s="60" customFormat="1" ht="12" customHeight="1" x14ac:dyDescent="0.15">
      <c r="A25" s="71"/>
      <c r="B25" s="72" t="s">
        <v>41</v>
      </c>
      <c r="C25" s="72"/>
      <c r="D25" s="72">
        <f>SUM(D23:D24)</f>
        <v>833.33333333333348</v>
      </c>
      <c r="E25" s="72">
        <f>SUM(E23:E24)</f>
        <v>833.33333333333348</v>
      </c>
      <c r="F25" s="72">
        <f>SUM(F23:F24)</f>
        <v>833.33333333333348</v>
      </c>
      <c r="G25" s="90">
        <f>SUM(D25:F25)</f>
        <v>2500.0000000000005</v>
      </c>
    </row>
    <row r="26" spans="1:7" s="60" customFormat="1" ht="12" customHeight="1" x14ac:dyDescent="0.15">
      <c r="A26" s="71"/>
      <c r="B26" s="72"/>
      <c r="C26" s="72"/>
      <c r="D26" s="72"/>
      <c r="E26" s="72"/>
      <c r="F26" s="72"/>
      <c r="G26" s="90"/>
    </row>
    <row r="27" spans="1:7" s="60" customFormat="1" ht="12" customHeight="1" x14ac:dyDescent="0.15">
      <c r="A27" s="71"/>
      <c r="B27" s="72" t="s">
        <v>84</v>
      </c>
      <c r="C27" s="72"/>
      <c r="D27" s="73">
        <f>-0.4*D25</f>
        <v>-333.33333333333343</v>
      </c>
      <c r="E27" s="73">
        <f t="shared" ref="E27:F27" si="6">-0.4*E25</f>
        <v>-333.33333333333343</v>
      </c>
      <c r="F27" s="73">
        <f t="shared" si="6"/>
        <v>-333.33333333333343</v>
      </c>
      <c r="G27" s="92">
        <f>SUM(D27:F27)</f>
        <v>-1000.0000000000002</v>
      </c>
    </row>
    <row r="28" spans="1:7" s="60" customFormat="1" ht="12" customHeight="1" x14ac:dyDescent="0.15">
      <c r="A28" s="71"/>
      <c r="B28" s="72" t="s">
        <v>78</v>
      </c>
      <c r="C28" s="72"/>
      <c r="D28" s="72">
        <f>D25+D27</f>
        <v>500.00000000000006</v>
      </c>
      <c r="E28" s="72">
        <f t="shared" ref="E28:F28" si="7">E25+E27</f>
        <v>500.00000000000006</v>
      </c>
      <c r="F28" s="72">
        <f t="shared" si="7"/>
        <v>500.00000000000006</v>
      </c>
      <c r="G28" s="99">
        <f>SUM(D28:F28)</f>
        <v>1500.0000000000002</v>
      </c>
    </row>
    <row r="29" spans="1:7" s="60" customFormat="1" ht="12" customHeight="1" x14ac:dyDescent="0.15">
      <c r="A29" s="74"/>
      <c r="B29" s="86" t="s">
        <v>64</v>
      </c>
      <c r="C29" s="86"/>
      <c r="D29" s="86"/>
      <c r="E29" s="75"/>
      <c r="F29" s="75"/>
      <c r="G29" s="93"/>
    </row>
    <row r="30" spans="1:7" s="60" customFormat="1" ht="12" customHeight="1" x14ac:dyDescent="0.15">
      <c r="A30" s="98" t="s">
        <v>66</v>
      </c>
      <c r="B30" s="70"/>
      <c r="C30" s="70"/>
      <c r="D30" s="70"/>
      <c r="E30" s="70"/>
      <c r="F30" s="70"/>
      <c r="G30" s="89"/>
    </row>
    <row r="31" spans="1:7" s="60" customFormat="1" ht="12" customHeight="1" x14ac:dyDescent="0.15">
      <c r="A31" s="71"/>
      <c r="B31" s="72" t="s">
        <v>79</v>
      </c>
      <c r="C31" s="72"/>
      <c r="D31" s="72">
        <f>D28</f>
        <v>500.00000000000006</v>
      </c>
      <c r="E31" s="72">
        <f t="shared" ref="E31:F31" si="8">E28</f>
        <v>500.00000000000006</v>
      </c>
      <c r="F31" s="72">
        <f t="shared" si="8"/>
        <v>500.00000000000006</v>
      </c>
      <c r="G31" s="90">
        <f>SUM(D31:F31)</f>
        <v>1500.0000000000002</v>
      </c>
    </row>
    <row r="32" spans="1:7" s="60" customFormat="1" ht="12" customHeight="1" x14ac:dyDescent="0.15">
      <c r="A32" s="71"/>
      <c r="B32" s="72" t="s">
        <v>50</v>
      </c>
      <c r="C32" s="72"/>
      <c r="D32" s="72">
        <f>-D24</f>
        <v>3166.6666666666665</v>
      </c>
      <c r="E32" s="72">
        <f t="shared" ref="E32:F32" si="9">-E24</f>
        <v>3166.6666666666665</v>
      </c>
      <c r="F32" s="72">
        <f t="shared" si="9"/>
        <v>3166.6666666666665</v>
      </c>
      <c r="G32" s="90">
        <f>SUM(D32:F32)</f>
        <v>9500</v>
      </c>
    </row>
    <row r="33" spans="1:7" s="68" customFormat="1" ht="12" customHeight="1" x14ac:dyDescent="0.15">
      <c r="A33" s="79"/>
      <c r="B33" s="80" t="s">
        <v>77</v>
      </c>
      <c r="C33" s="80"/>
      <c r="D33" s="78">
        <v>0</v>
      </c>
      <c r="E33" s="78">
        <v>0</v>
      </c>
      <c r="F33" s="78">
        <v>0</v>
      </c>
      <c r="G33" s="91">
        <f>SUM(D33:F33)</f>
        <v>0</v>
      </c>
    </row>
    <row r="34" spans="1:7" s="60" customFormat="1" ht="12" customHeight="1" x14ac:dyDescent="0.15">
      <c r="A34" s="71"/>
      <c r="B34" s="72" t="s">
        <v>51</v>
      </c>
      <c r="C34" s="72"/>
      <c r="D34" s="72">
        <f>SUM(D31:D33)</f>
        <v>3666.6666666666665</v>
      </c>
      <c r="E34" s="72">
        <f t="shared" ref="E34:F34" si="10">SUM(E31:E33)</f>
        <v>3666.6666666666665</v>
      </c>
      <c r="F34" s="72">
        <f t="shared" si="10"/>
        <v>3666.6666666666665</v>
      </c>
      <c r="G34" s="90">
        <f>SUM(D34:F34)</f>
        <v>11000</v>
      </c>
    </row>
    <row r="35" spans="1:7" s="60" customFormat="1" ht="12" customHeight="1" x14ac:dyDescent="0.15">
      <c r="A35" s="71"/>
      <c r="B35" s="72"/>
      <c r="C35" s="72"/>
      <c r="D35" s="72"/>
      <c r="E35" s="72"/>
      <c r="F35" s="72"/>
      <c r="G35" s="90"/>
    </row>
    <row r="36" spans="1:7" s="60" customFormat="1" ht="12" customHeight="1" x14ac:dyDescent="0.15">
      <c r="A36" s="71"/>
      <c r="B36" s="72" t="s">
        <v>52</v>
      </c>
      <c r="C36" s="72"/>
      <c r="D36" s="72">
        <f>D$10</f>
        <v>-10000</v>
      </c>
      <c r="E36" s="72">
        <v>0</v>
      </c>
      <c r="F36" s="72">
        <v>0</v>
      </c>
      <c r="G36" s="90">
        <f>SUM(D36:F36)</f>
        <v>-10000</v>
      </c>
    </row>
    <row r="37" spans="1:7" s="60" customFormat="1" ht="12" customHeight="1" x14ac:dyDescent="0.3">
      <c r="A37" s="79"/>
      <c r="B37" s="80" t="s">
        <v>53</v>
      </c>
      <c r="C37" s="80"/>
      <c r="D37" s="78">
        <v>0</v>
      </c>
      <c r="E37" s="78">
        <v>0</v>
      </c>
      <c r="F37" s="78">
        <f>F$10</f>
        <v>500</v>
      </c>
      <c r="G37" s="94">
        <f>SUM(D37:F37)</f>
        <v>500</v>
      </c>
    </row>
    <row r="38" spans="1:7" s="60" customFormat="1" ht="12" customHeight="1" x14ac:dyDescent="0.15">
      <c r="A38" s="71"/>
      <c r="B38" s="72" t="s">
        <v>54</v>
      </c>
      <c r="C38" s="72"/>
      <c r="D38" s="72">
        <f>SUM(D36:D37)</f>
        <v>-10000</v>
      </c>
      <c r="E38" s="72">
        <f t="shared" ref="E38:F38" si="11">SUM(E36:E37)</f>
        <v>0</v>
      </c>
      <c r="F38" s="72">
        <f t="shared" si="11"/>
        <v>500</v>
      </c>
      <c r="G38" s="90">
        <f>SUM(D38:F38)</f>
        <v>-9500</v>
      </c>
    </row>
    <row r="39" spans="1:7" s="60" customFormat="1" ht="12" customHeight="1" x14ac:dyDescent="0.15">
      <c r="A39" s="71"/>
      <c r="B39" s="72"/>
      <c r="C39" s="72"/>
      <c r="D39" s="72"/>
      <c r="E39" s="72"/>
      <c r="F39" s="72"/>
      <c r="G39" s="90"/>
    </row>
    <row r="40" spans="1:7" s="60" customFormat="1" ht="12" customHeight="1" x14ac:dyDescent="0.15">
      <c r="A40" s="71"/>
      <c r="B40" s="72" t="s">
        <v>67</v>
      </c>
      <c r="C40" s="72"/>
      <c r="D40" s="72">
        <v>0</v>
      </c>
      <c r="E40" s="72">
        <v>0</v>
      </c>
      <c r="F40" s="72">
        <v>0</v>
      </c>
      <c r="G40" s="90">
        <f>SUM(D40:F40)</f>
        <v>0</v>
      </c>
    </row>
    <row r="41" spans="1:7" s="69" customFormat="1" ht="12.75" customHeight="1" x14ac:dyDescent="0.15">
      <c r="A41" s="81"/>
      <c r="B41" s="82" t="s">
        <v>55</v>
      </c>
      <c r="C41" s="83"/>
      <c r="D41" s="78">
        <v>0</v>
      </c>
      <c r="E41" s="78">
        <v>0</v>
      </c>
      <c r="F41" s="78">
        <v>0</v>
      </c>
      <c r="G41" s="91">
        <f>SUM(D41:F41)</f>
        <v>0</v>
      </c>
    </row>
    <row r="42" spans="1:7" s="60" customFormat="1" ht="12" customHeight="1" x14ac:dyDescent="0.15">
      <c r="A42" s="71"/>
      <c r="B42" s="72" t="s">
        <v>56</v>
      </c>
      <c r="C42" s="72"/>
      <c r="D42" s="72">
        <f>SUM(D40:D41)</f>
        <v>0</v>
      </c>
      <c r="E42" s="72">
        <f t="shared" ref="E42:F42" si="12">SUM(E40:E41)</f>
        <v>0</v>
      </c>
      <c r="F42" s="72">
        <f t="shared" si="12"/>
        <v>0</v>
      </c>
      <c r="G42" s="90">
        <f>SUM(D42:F42)</f>
        <v>0</v>
      </c>
    </row>
    <row r="43" spans="1:7" s="60" customFormat="1" ht="12" customHeight="1" x14ac:dyDescent="0.15">
      <c r="A43" s="71"/>
      <c r="B43" s="72"/>
      <c r="C43" s="72"/>
      <c r="D43" s="72"/>
      <c r="E43" s="72"/>
      <c r="F43" s="72"/>
      <c r="G43" s="90"/>
    </row>
    <row r="44" spans="1:7" s="60" customFormat="1" ht="12" customHeight="1" x14ac:dyDescent="0.15">
      <c r="A44" s="71"/>
      <c r="B44" s="72" t="s">
        <v>21</v>
      </c>
      <c r="C44" s="72"/>
      <c r="D44" s="72">
        <f>SUM(D34,D38,D42)</f>
        <v>-6333.3333333333339</v>
      </c>
      <c r="E44" s="72">
        <f t="shared" ref="E44:F44" si="13">SUM(E34,E38,E42)</f>
        <v>3666.6666666666665</v>
      </c>
      <c r="F44" s="72">
        <f t="shared" si="13"/>
        <v>4166.6666666666661</v>
      </c>
      <c r="G44" s="99">
        <f>SUM(D44:F44)</f>
        <v>1499.9999999999986</v>
      </c>
    </row>
    <row r="45" spans="1:7" s="68" customFormat="1" ht="12" customHeight="1" x14ac:dyDescent="0.15">
      <c r="A45" s="79"/>
      <c r="B45" s="80" t="s">
        <v>57</v>
      </c>
      <c r="C45" s="80"/>
      <c r="D45" s="78">
        <v>10000</v>
      </c>
      <c r="E45" s="78">
        <f>D46</f>
        <v>3666.6666666666661</v>
      </c>
      <c r="F45" s="78">
        <f t="shared" ref="F45" si="14">E46</f>
        <v>7333.3333333333321</v>
      </c>
      <c r="G45" s="91"/>
    </row>
    <row r="46" spans="1:7" s="60" customFormat="1" ht="12" customHeight="1" x14ac:dyDescent="0.15">
      <c r="A46" s="71"/>
      <c r="B46" s="72" t="s">
        <v>58</v>
      </c>
      <c r="C46" s="72"/>
      <c r="D46" s="72">
        <f>D44+D45</f>
        <v>3666.6666666666661</v>
      </c>
      <c r="E46" s="72">
        <f>E44+E45</f>
        <v>7333.3333333333321</v>
      </c>
      <c r="F46" s="72">
        <f t="shared" ref="F46" si="15">F44+F45</f>
        <v>11499.999999999998</v>
      </c>
      <c r="G46" s="90"/>
    </row>
    <row r="47" spans="1:7" s="60" customFormat="1" ht="12" customHeight="1" x14ac:dyDescent="0.15">
      <c r="A47" s="74"/>
      <c r="B47" s="75"/>
      <c r="C47" s="75"/>
      <c r="D47" s="75"/>
      <c r="E47" s="75"/>
      <c r="F47" s="75"/>
      <c r="G47" s="93"/>
    </row>
    <row r="48" spans="1:7" s="60" customFormat="1" ht="12" customHeight="1" x14ac:dyDescent="0.15"/>
    <row r="49" s="60" customFormat="1" ht="12" customHeight="1" x14ac:dyDescent="0.15"/>
    <row r="50" s="60" customFormat="1" ht="12" customHeight="1" x14ac:dyDescent="0.15"/>
    <row r="51" s="60" customFormat="1" ht="12" customHeight="1" x14ac:dyDescent="0.15"/>
    <row r="52" s="60" customFormat="1" ht="12" customHeight="1" x14ac:dyDescent="0.15"/>
    <row r="53" s="60" customFormat="1" ht="12" customHeight="1" x14ac:dyDescent="0.15"/>
    <row r="54" s="60" customFormat="1" ht="12" customHeight="1" x14ac:dyDescent="0.15"/>
    <row r="55" s="60" customFormat="1" ht="12" customHeight="1" x14ac:dyDescent="0.15"/>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Financial History</vt:lpstr>
      <vt:lpstr>Capital Structure</vt:lpstr>
      <vt:lpstr>Valuation</vt:lpstr>
      <vt:lpstr>Sheet1</vt:lpstr>
      <vt:lpstr>Help-Depreciation</vt:lpstr>
      <vt:lpstr>'Capital Structure'!Print_Area</vt:lpstr>
      <vt:lpstr>'Financial History'!Print_Area</vt:lpstr>
      <vt:lpstr>Valuation!Print_Area</vt:lpstr>
      <vt:lpstr>Valuation!Print_Titles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CJSmith</dc:creator>
  <cp:lastModifiedBy>brittani velez</cp:lastModifiedBy>
  <cp:lastPrinted>2016-12-20T15:26:36Z</cp:lastPrinted>
  <dcterms:created xsi:type="dcterms:W3CDTF">2010-05-19T15:26:38Z</dcterms:created>
  <dcterms:modified xsi:type="dcterms:W3CDTF">2020-09-24T20:36:49Z</dcterms:modified>
</cp:coreProperties>
</file>